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2.xml" ContentType="application/vnd.openxmlformats-officedocument.spreadsheetml.worksheet+xml"/>
  <Override PartName="/xl/worksheets/sheet1.xml" ContentType="application/vnd.openxmlformats-officedocument.spreadsheetml.worksheet+xml"/>
  <Override PartName="/xl/worksheets/sheet3.xml" ContentType="application/vnd.openxmlformats-officedocument.spreadsheetml.worksheet+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0"/>
  <workbookPr/>
  <mc:AlternateContent xmlns:mc="http://schemas.openxmlformats.org/markup-compatibility/2006">
    <mc:Choice Requires="x15">
      <x15ac:absPath xmlns:x15ac="http://schemas.microsoft.com/office/spreadsheetml/2010/11/ac" url="D:\NhatHuy\Hồ sơ Cơ quan\Tra loi van ban\2024\UB MTTQ\CV đi\Xây dựng Nghị quyết\2025\"/>
    </mc:Choice>
  </mc:AlternateContent>
  <xr:revisionPtr revIDLastSave="0" documentId="11_776DE6FBFE5952FBE7FE6AAB7E16CD14EAB015A6" xr6:coauthVersionLast="47" xr6:coauthVersionMax="47" xr10:uidLastSave="{00000000-0000-0000-0000-000000000000}"/>
  <bookViews>
    <workbookView xWindow="0" yWindow="0" windowWidth="28800" windowHeight="12210" activeTab="3" xr2:uid="{00000000-000D-0000-FFFF-FFFF00000000}"/>
  </bookViews>
  <sheets>
    <sheet name="PL1 Chi tiết đã chi 2019-2023" sheetId="2" r:id="rId1"/>
    <sheet name="PL2 Tham khảo các tỉnh" sheetId="3" r:id="rId2"/>
    <sheet name="PL3 Tỷ lệ tăng" sheetId="1" r:id="rId3"/>
    <sheet name="PL kèm theo BC TĐCS" sheetId="4" r:id="rId4"/>
  </sheets>
  <definedNames>
    <definedName name="_xlnm.Print_Titles" localSheetId="3">'PL kèm theo BC TĐCS'!$5:$7</definedName>
    <definedName name="_xlnm.Print_Titles" localSheetId="0">'PL1 Chi tiết đã chi 2019-2023'!$6:$7</definedName>
    <definedName name="_xlnm.Print_Titles" localSheetId="1">'PL2 Tham khảo các tỉnh'!$6:$7</definedName>
    <definedName name="_xlnm.Print_Titles" localSheetId="2">'PL3 Tỷ lệ tăng'!$6:$8</definedName>
    <definedName name="_xlnm.Print_Area" localSheetId="3">'PL kèm theo BC TĐCS'!$A$1:$I$73</definedName>
    <definedName name="_xlnm.Print_Area" localSheetId="0">'PL1 Chi tiết đã chi 2019-2023'!$A$1:$E$302</definedName>
    <definedName name="_xlnm.Print_Area" localSheetId="1">'PL2 Tham khảo các tỉnh'!$A$1:$K$30</definedName>
    <definedName name="_xlnm.Print_Area" localSheetId="2">'PL3 Tỷ lệ tăng'!$A$1:$I$73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 i="4" l="1"/>
  <c r="I11" i="4"/>
  <c r="I12" i="4"/>
  <c r="I15" i="4"/>
  <c r="I16" i="4"/>
  <c r="I17" i="4"/>
  <c r="I19" i="4"/>
  <c r="I20" i="4"/>
  <c r="I21" i="4"/>
  <c r="I23" i="4"/>
  <c r="I24" i="4"/>
  <c r="I25" i="4"/>
  <c r="I32" i="4"/>
  <c r="I33" i="4"/>
  <c r="I34" i="4"/>
  <c r="I35" i="4"/>
  <c r="I49" i="4"/>
  <c r="I50" i="4"/>
  <c r="I57" i="4"/>
  <c r="I58" i="4"/>
  <c r="E279" i="2"/>
  <c r="E280" i="2"/>
  <c r="E281" i="2"/>
  <c r="E282" i="2"/>
  <c r="E283" i="2"/>
  <c r="G70" i="4"/>
  <c r="G69" i="4"/>
  <c r="G67" i="4"/>
  <c r="G71" i="4"/>
  <c r="G61" i="4"/>
  <c r="G53" i="4"/>
  <c r="C45" i="4"/>
  <c r="C44" i="4"/>
  <c r="C43" i="4"/>
  <c r="C42" i="4"/>
  <c r="C40" i="4"/>
  <c r="C39" i="4"/>
  <c r="C37" i="4"/>
  <c r="H25" i="4"/>
  <c r="H24" i="4"/>
  <c r="H23" i="4"/>
  <c r="H21" i="4"/>
  <c r="H20" i="4"/>
  <c r="H19" i="4"/>
  <c r="H17" i="4"/>
  <c r="H16" i="4"/>
  <c r="H15" i="4"/>
  <c r="H12" i="4"/>
  <c r="H11" i="4"/>
  <c r="H10" i="4"/>
  <c r="G68" i="4"/>
  <c r="G50" i="4"/>
  <c r="G58" i="4"/>
  <c r="C44" i="1"/>
  <c r="C45" i="1"/>
  <c r="I12" i="1"/>
  <c r="I17" i="1"/>
  <c r="I21" i="1"/>
  <c r="I25" i="1"/>
  <c r="I51" i="1"/>
  <c r="G51" i="1"/>
  <c r="G52" i="1"/>
  <c r="G49" i="1"/>
  <c r="L65" i="1"/>
  <c r="G70" i="1"/>
  <c r="G71" i="1"/>
  <c r="G68" i="1"/>
  <c r="G72" i="1"/>
  <c r="G69" i="1"/>
  <c r="G54" i="1"/>
  <c r="G55" i="1"/>
  <c r="G56" i="1"/>
  <c r="G53" i="1"/>
  <c r="L69" i="1"/>
  <c r="K69" i="1"/>
  <c r="K71" i="1"/>
  <c r="K72" i="1"/>
  <c r="G62" i="4"/>
  <c r="G59" i="4"/>
  <c r="G63" i="4"/>
  <c r="G56" i="4"/>
  <c r="G54" i="4"/>
  <c r="G51" i="4"/>
  <c r="G55" i="4"/>
  <c r="K71" i="4"/>
  <c r="G48" i="4"/>
  <c r="C43" i="1"/>
  <c r="C41" i="1"/>
  <c r="C40" i="1"/>
  <c r="C46" i="1"/>
  <c r="L64" i="4"/>
  <c r="G72" i="4"/>
  <c r="G52" i="4"/>
  <c r="K70" i="4"/>
  <c r="G60" i="4"/>
  <c r="I11" i="1"/>
  <c r="I16" i="1"/>
  <c r="I20" i="1"/>
  <c r="I24" i="1"/>
  <c r="I50" i="1"/>
  <c r="I34" i="1"/>
  <c r="I36" i="1"/>
  <c r="I59" i="1"/>
  <c r="G59" i="1"/>
  <c r="I33" i="1"/>
  <c r="I58" i="1"/>
  <c r="G62" i="1"/>
  <c r="L68" i="4"/>
  <c r="K68" i="4"/>
  <c r="G60" i="1"/>
  <c r="G64" i="1"/>
  <c r="G63" i="1"/>
  <c r="I26" i="1"/>
  <c r="I35" i="1"/>
  <c r="I22" i="1"/>
  <c r="I18" i="1"/>
  <c r="I13" i="1"/>
  <c r="H26" i="1"/>
  <c r="H25" i="1"/>
  <c r="H24" i="1"/>
  <c r="H22" i="1"/>
  <c r="H21" i="1"/>
  <c r="H20" i="1"/>
  <c r="H18" i="1"/>
  <c r="H17" i="1"/>
  <c r="H16" i="1"/>
  <c r="H13" i="1"/>
  <c r="H12" i="1"/>
  <c r="H11" i="1"/>
  <c r="E11" i="3"/>
  <c r="E10" i="3"/>
  <c r="E9" i="3"/>
  <c r="K24" i="3"/>
  <c r="K23" i="3"/>
  <c r="K22" i="3"/>
  <c r="K15" i="3"/>
  <c r="I24" i="3"/>
  <c r="I23" i="3"/>
  <c r="I22" i="3"/>
  <c r="I20" i="3"/>
  <c r="I19" i="3"/>
  <c r="I18" i="3"/>
  <c r="I16" i="3"/>
  <c r="I15" i="3"/>
  <c r="E20" i="3"/>
  <c r="E19" i="3"/>
  <c r="E16" i="3"/>
  <c r="E15" i="3"/>
  <c r="E14" i="3"/>
  <c r="E18" i="3"/>
  <c r="G16" i="3"/>
  <c r="G20" i="3"/>
  <c r="G19" i="3"/>
  <c r="E24" i="3"/>
  <c r="E23" i="3"/>
  <c r="E22" i="3"/>
  <c r="G24" i="3"/>
  <c r="G23" i="3"/>
  <c r="K16" i="3"/>
  <c r="G15" i="3"/>
  <c r="K14" i="3"/>
  <c r="I14" i="3"/>
  <c r="G14" i="3"/>
  <c r="G22" i="3"/>
  <c r="G18" i="3"/>
  <c r="C38" i="1"/>
  <c r="G57" i="1"/>
  <c r="G61" i="1"/>
  <c r="E295" i="2"/>
  <c r="E290" i="2"/>
  <c r="E264" i="2"/>
  <c r="E259" i="2"/>
  <c r="E175" i="2"/>
  <c r="E170" i="2"/>
  <c r="E104" i="2"/>
  <c r="E105" i="2"/>
  <c r="E106" i="2"/>
  <c r="E107" i="2"/>
  <c r="E108" i="2"/>
  <c r="E103" i="2"/>
  <c r="E297" i="2"/>
  <c r="E298" i="2"/>
  <c r="E299" i="2"/>
  <c r="E300" i="2"/>
  <c r="E301" i="2"/>
  <c r="E238" i="2"/>
  <c r="E233" i="2"/>
  <c r="E177" i="2"/>
  <c r="E178" i="2"/>
  <c r="E179" i="2"/>
  <c r="E180" i="2"/>
  <c r="E181" i="2"/>
  <c r="C114" i="2"/>
  <c r="E114" i="2"/>
  <c r="C113" i="2"/>
  <c r="E113" i="2"/>
  <c r="C112" i="2"/>
  <c r="E112" i="2"/>
  <c r="C111" i="2"/>
  <c r="E111" i="2"/>
  <c r="C110" i="2"/>
  <c r="E110" i="2"/>
  <c r="E285" i="2"/>
  <c r="E286" i="2"/>
  <c r="E287" i="2"/>
  <c r="E288" i="2"/>
  <c r="E289" i="2"/>
  <c r="E228" i="2"/>
  <c r="E229" i="2"/>
  <c r="E230" i="2"/>
  <c r="E231" i="2"/>
  <c r="E232" i="2"/>
  <c r="E165" i="2"/>
  <c r="E166" i="2"/>
  <c r="E167" i="2"/>
  <c r="E168" i="2"/>
  <c r="E169" i="2"/>
  <c r="E98" i="2"/>
  <c r="E99" i="2"/>
  <c r="E100" i="2"/>
  <c r="E101" i="2"/>
  <c r="E102" i="2"/>
  <c r="E27" i="2"/>
  <c r="E22" i="2"/>
  <c r="E296" i="2"/>
  <c r="E176" i="2"/>
  <c r="E164" i="2"/>
  <c r="E109" i="2"/>
  <c r="E284" i="2"/>
  <c r="E227" i="2"/>
  <c r="E97" i="2"/>
  <c r="C31" i="2"/>
  <c r="E31" i="2"/>
  <c r="C32" i="2"/>
  <c r="E32" i="2"/>
  <c r="C33" i="2"/>
  <c r="E33" i="2"/>
  <c r="C34" i="2"/>
  <c r="E34" i="2"/>
  <c r="C35" i="2"/>
  <c r="E35" i="2"/>
  <c r="E30" i="2"/>
  <c r="E37" i="2"/>
  <c r="E38" i="2"/>
  <c r="E39" i="2"/>
  <c r="E40" i="2"/>
  <c r="E41" i="2"/>
  <c r="E36" i="2"/>
  <c r="E56" i="2"/>
  <c r="E57" i="2"/>
  <c r="E58" i="2"/>
  <c r="E59" i="2"/>
  <c r="E60" i="2"/>
  <c r="E55" i="2"/>
  <c r="E62" i="2"/>
  <c r="E63" i="2"/>
  <c r="E64" i="2"/>
  <c r="E65" i="2"/>
  <c r="E66" i="2"/>
  <c r="E61" i="2"/>
  <c r="E68" i="2"/>
  <c r="E69" i="2"/>
  <c r="E70" i="2"/>
  <c r="E71" i="2"/>
  <c r="E72" i="2"/>
  <c r="E67" i="2"/>
  <c r="C74" i="2"/>
  <c r="E74" i="2"/>
  <c r="C75" i="2"/>
  <c r="E75" i="2"/>
  <c r="C76" i="2"/>
  <c r="E76" i="2"/>
  <c r="C77" i="2"/>
  <c r="E77" i="2"/>
  <c r="C78" i="2"/>
  <c r="E78" i="2"/>
  <c r="E73" i="2"/>
  <c r="E80" i="2"/>
  <c r="E81" i="2"/>
  <c r="E82" i="2"/>
  <c r="E83" i="2"/>
  <c r="E84" i="2"/>
  <c r="E79" i="2"/>
  <c r="E86" i="2"/>
  <c r="E87" i="2"/>
  <c r="E88" i="2"/>
  <c r="E89" i="2"/>
  <c r="C90" i="2"/>
  <c r="E90" i="2"/>
  <c r="E85" i="2"/>
  <c r="E92" i="2"/>
  <c r="E93" i="2"/>
  <c r="E94" i="2"/>
  <c r="E95" i="2"/>
  <c r="E96" i="2"/>
  <c r="E91" i="2"/>
  <c r="E29" i="2"/>
  <c r="E222" i="2"/>
  <c r="E223" i="2"/>
  <c r="E224" i="2"/>
  <c r="E225" i="2"/>
  <c r="E226" i="2"/>
  <c r="E159" i="2"/>
  <c r="E160" i="2"/>
  <c r="E161" i="2"/>
  <c r="E162" i="2"/>
  <c r="E163" i="2"/>
  <c r="E221" i="2"/>
  <c r="E158" i="2"/>
  <c r="E153" i="2"/>
  <c r="E154" i="2"/>
  <c r="E155" i="2"/>
  <c r="E156" i="2"/>
  <c r="E157" i="2"/>
  <c r="E152" i="2"/>
  <c r="E216" i="2"/>
  <c r="E217" i="2"/>
  <c r="E218" i="2"/>
  <c r="E219" i="2"/>
  <c r="E220" i="2"/>
  <c r="E147" i="2"/>
  <c r="E148" i="2"/>
  <c r="E149" i="2"/>
  <c r="E150" i="2"/>
  <c r="E151" i="2"/>
  <c r="E269" i="2"/>
  <c r="E270" i="2"/>
  <c r="E213" i="2"/>
  <c r="E209" i="2"/>
  <c r="E142" i="2"/>
  <c r="E143" i="2"/>
  <c r="E144" i="2"/>
  <c r="E145" i="2"/>
  <c r="E141" i="2"/>
  <c r="E248" i="2"/>
  <c r="E249" i="2"/>
  <c r="E250" i="2"/>
  <c r="E251" i="2"/>
  <c r="E252" i="2"/>
  <c r="E254" i="2"/>
  <c r="E253" i="2"/>
  <c r="E207" i="2"/>
  <c r="E208" i="2"/>
  <c r="E135" i="2"/>
  <c r="E136" i="2"/>
  <c r="E137" i="2"/>
  <c r="E138" i="2"/>
  <c r="E139" i="2"/>
  <c r="E42" i="2"/>
  <c r="E43" i="2"/>
  <c r="E44" i="2"/>
  <c r="E45" i="2"/>
  <c r="E46" i="2"/>
  <c r="E47" i="2"/>
  <c r="E48" i="2"/>
  <c r="E49" i="2"/>
  <c r="E50" i="2"/>
  <c r="E51" i="2"/>
  <c r="E52" i="2"/>
  <c r="E53" i="2"/>
  <c r="E54" i="2"/>
  <c r="E190" i="2"/>
  <c r="E191" i="2"/>
  <c r="E192" i="2"/>
  <c r="E193" i="2"/>
  <c r="E129" i="2"/>
  <c r="E130" i="2"/>
  <c r="E131" i="2"/>
  <c r="E132" i="2"/>
  <c r="E133" i="2"/>
  <c r="E146" i="2"/>
  <c r="E265" i="2"/>
  <c r="E215" i="2"/>
  <c r="E140" i="2"/>
  <c r="E203" i="2"/>
  <c r="E134" i="2"/>
  <c r="E128" i="2"/>
  <c r="E189" i="2"/>
  <c r="E276" i="2"/>
  <c r="E277" i="2"/>
  <c r="E273" i="2"/>
  <c r="C124" i="2"/>
  <c r="E124" i="2"/>
  <c r="C122" i="2"/>
  <c r="E122" i="2"/>
  <c r="C120" i="2"/>
  <c r="E120" i="2"/>
  <c r="C118" i="2"/>
  <c r="E118" i="2"/>
  <c r="E275" i="2"/>
  <c r="E12" i="2"/>
  <c r="E121" i="2"/>
  <c r="E123" i="2"/>
  <c r="E274" i="2"/>
  <c r="E243" i="2"/>
  <c r="E244" i="2"/>
  <c r="E184" i="2"/>
  <c r="E185" i="2"/>
  <c r="E186" i="2"/>
  <c r="E187" i="2"/>
  <c r="E119" i="2"/>
  <c r="E125" i="2"/>
  <c r="E245" i="2"/>
  <c r="E242" i="2"/>
  <c r="C11" i="2"/>
  <c r="E11" i="2"/>
  <c r="E272" i="2"/>
  <c r="E271" i="2"/>
  <c r="E10" i="2"/>
  <c r="E9" i="2"/>
  <c r="E246" i="2"/>
  <c r="E241" i="2"/>
  <c r="E240" i="2"/>
  <c r="E239" i="2"/>
  <c r="E188" i="2"/>
  <c r="E183" i="2"/>
  <c r="E182" i="2"/>
  <c r="E127" i="2"/>
  <c r="E126" i="2"/>
  <c r="E8" i="2"/>
  <c r="E117" i="2"/>
  <c r="E116" i="2"/>
  <c r="E115" i="2"/>
  <c r="E30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DinhPhanNhatHuy</author>
  </authors>
  <commentList>
    <comment ref="I26" authorId="0" shapeId="0" xr:uid="{00000000-0006-0000-0200-000001000000}">
      <text>
        <r>
          <rPr>
            <b/>
            <sz val="9"/>
            <color indexed="81"/>
            <rFont val="Tahoma"/>
            <family val="2"/>
          </rPr>
          <t>DinhPhanNhatHuy:</t>
        </r>
        <r>
          <rPr>
            <sz val="9"/>
            <color indexed="81"/>
            <rFont val="Tahoma"/>
            <family val="2"/>
          </rPr>
          <t xml:space="preserve">
với mức chi bằng mức chi của cấp huyện làm cơ sở tính tỷ lệ</t>
        </r>
      </text>
    </comment>
    <comment ref="C38" authorId="0" shapeId="0" xr:uid="{00000000-0006-0000-0200-000002000000}">
      <text>
        <r>
          <rPr>
            <b/>
            <sz val="9"/>
            <color indexed="81"/>
            <rFont val="Tahoma"/>
            <family val="2"/>
          </rPr>
          <t>DinhPhanNhatHuy:</t>
        </r>
        <r>
          <rPr>
            <sz val="9"/>
            <color indexed="81"/>
            <rFont val="Tahoma"/>
            <family val="2"/>
          </rPr>
          <t xml:space="preserve">
Số liệu báo cáo theo văn bản số 01/MTTQ-BTT ngày 20/8/2024</t>
        </r>
      </text>
    </comment>
    <comment ref="G50" authorId="0" shapeId="0" xr:uid="{00000000-0006-0000-0200-000003000000}">
      <text>
        <r>
          <rPr>
            <b/>
            <sz val="9"/>
            <color indexed="81"/>
            <rFont val="Tahoma"/>
            <family val="2"/>
          </rPr>
          <t>DinhPhanNhatHuy:</t>
        </r>
        <r>
          <rPr>
            <sz val="9"/>
            <color indexed="81"/>
            <rFont val="Tahoma"/>
            <family val="2"/>
          </rPr>
          <t xml:space="preserve">
Nội dung đề xuất theo văn bản số 3518/MTTQ-BTT ngày 19/6/2024</t>
        </r>
      </text>
    </comment>
    <comment ref="G51" authorId="0" shapeId="0" xr:uid="{00000000-0006-0000-0200-000004000000}">
      <text>
        <r>
          <rPr>
            <b/>
            <sz val="9"/>
            <color indexed="81"/>
            <rFont val="Tahoma"/>
            <family val="2"/>
          </rPr>
          <t>DinhPhanNhatHuy:</t>
        </r>
        <r>
          <rPr>
            <sz val="9"/>
            <color indexed="81"/>
            <rFont val="Tahoma"/>
            <family val="2"/>
          </rPr>
          <t xml:space="preserve">
Dự toán chi x tỷ lệ tăng bình quân
trong đó không bao gồm dự toán các khoản chi một số trường hợp đặc biệt của giai đoạn 2019-2023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DinhPhanNhatHuy</author>
  </authors>
  <commentList>
    <comment ref="I25" authorId="0" shapeId="0" xr:uid="{00000000-0006-0000-0300-000001000000}">
      <text>
        <r>
          <rPr>
            <b/>
            <sz val="9"/>
            <color indexed="81"/>
            <rFont val="Tahoma"/>
            <family val="2"/>
          </rPr>
          <t>DinhPhanNhatHuy:</t>
        </r>
        <r>
          <rPr>
            <sz val="9"/>
            <color indexed="81"/>
            <rFont val="Tahoma"/>
            <family val="2"/>
          </rPr>
          <t xml:space="preserve">
với mức chi bằng mức chi của cấp huyện làm cơ sở tính tỷ lệ</t>
        </r>
      </text>
    </comment>
    <comment ref="C37" authorId="0" shapeId="0" xr:uid="{00000000-0006-0000-0300-000002000000}">
      <text>
        <r>
          <rPr>
            <b/>
            <sz val="9"/>
            <color indexed="81"/>
            <rFont val="Tahoma"/>
            <family val="2"/>
          </rPr>
          <t>DinhPhanNhatHuy:</t>
        </r>
        <r>
          <rPr>
            <sz val="9"/>
            <color indexed="81"/>
            <rFont val="Tahoma"/>
            <family val="2"/>
          </rPr>
          <t xml:space="preserve">
Số liệu báo cáo theo văn bản số 01/MTTQ-BTT ngày 20/8/2024</t>
        </r>
      </text>
    </comment>
    <comment ref="G49" authorId="0" shapeId="0" xr:uid="{00000000-0006-0000-0300-000003000000}">
      <text>
        <r>
          <rPr>
            <b/>
            <sz val="9"/>
            <color indexed="81"/>
            <rFont val="Tahoma"/>
            <family val="2"/>
          </rPr>
          <t>DinhPhanNhatHuy:</t>
        </r>
        <r>
          <rPr>
            <sz val="9"/>
            <color indexed="81"/>
            <rFont val="Tahoma"/>
            <family val="2"/>
          </rPr>
          <t xml:space="preserve">
Nội dung đề xuất theo văn bản số 3518/MTTQ-BTT ngày 19/6/2024</t>
        </r>
      </text>
    </comment>
    <comment ref="G50" authorId="0" shapeId="0" xr:uid="{00000000-0006-0000-0300-000004000000}">
      <text>
        <r>
          <rPr>
            <b/>
            <sz val="9"/>
            <color indexed="81"/>
            <rFont val="Tahoma"/>
            <family val="2"/>
          </rPr>
          <t>DinhPhanNhatHuy:</t>
        </r>
        <r>
          <rPr>
            <sz val="9"/>
            <color indexed="81"/>
            <rFont val="Tahoma"/>
            <family val="2"/>
          </rPr>
          <t xml:space="preserve">
Dự toán chi x tỷ lệ tăng bình quân
trong đó không bao gồm dự toán các khoản chi một số trường hợp đặc biệt của giai đoạn 2019-2023
</t>
        </r>
      </text>
    </comment>
  </commentList>
</comments>
</file>

<file path=xl/sharedStrings.xml><?xml version="1.0" encoding="utf-8"?>
<sst xmlns="http://schemas.openxmlformats.org/spreadsheetml/2006/main" count="607" uniqueCount="142">
  <si>
    <t>Nội dung chi</t>
  </si>
  <si>
    <t>STT</t>
  </si>
  <si>
    <t>I</t>
  </si>
  <si>
    <t>Chi tặng quà lưu niệm nhân dịp đón các đoàn đại biểu và cá nhân đến thăm, làm việc với cơ quan Ủy ban Mặt trận tổ quốc Việt Nam các cấp</t>
  </si>
  <si>
    <t>Chi tặng quà lưu niệm, chúc mừng</t>
  </si>
  <si>
    <t>II</t>
  </si>
  <si>
    <t>Chi phúng viếng khi qua đời:</t>
  </si>
  <si>
    <t>Chi thăm hỏi khi ốm đau:</t>
  </si>
  <si>
    <t>Đối với cấp tỉnh</t>
  </si>
  <si>
    <t>Đối với cấp huyện</t>
  </si>
  <si>
    <t>Chi hỗ trợ khi gia đình gặp khó khăn (thiên tai, hỏa hoạn)</t>
  </si>
  <si>
    <t>Mức chi</t>
  </si>
  <si>
    <t>Chi tặng quà chúc mừng ngày tết Nguyên đán, ngày lễ hoặc ngày lễ trọng thể đối với các vị lão thành cách mạng, chiến sĩ cách mạng tiêu biểu, Bà mẹ Việt Nam anh hùng, Anh hùng lực lượng vũ trang, cán bộ Mặt trận tổ quốc Việt Nam các cấp qua các thời kỳ</t>
  </si>
  <si>
    <t>Việc tặng quà chúc mừng ngày tết Nguyên đán, ngày lễ hoặc ngày lễ trọng thể</t>
  </si>
  <si>
    <t>Chi một số trường hợp đặc biệt</t>
  </si>
  <si>
    <t>III</t>
  </si>
  <si>
    <t>Tặng quà chúc mừng các vị chức sắc tiêu biểu được phong phẩm, mua lễ vật dự đám giỗ các vị lão thành cách mạng, chiến sĩ cách mạng tiêu biểu, Bà mẹ Việt Nam anh hùng, cán bộ Mặt trận tổ quốc Việt Nam các cấp qua các thời kỳ</t>
  </si>
  <si>
    <t>Tặng quà chúc mừng các hội nghị, đại hội của tổ chức tôn giáo, lễ hội của đồng bào dân tộc mang tầm Quốc tế được tổ chức trên địa bàn tỉnh</t>
  </si>
  <si>
    <t xml:space="preserve">TỔNG DỰ TOÁN CHI </t>
  </si>
  <si>
    <t xml:space="preserve">Nghị quyết 
124/2014/NQ-HĐND </t>
  </si>
  <si>
    <t>Tỷ lệ %</t>
  </si>
  <si>
    <t>Giai đoạn 2019-2023</t>
  </si>
  <si>
    <t>Giai đoạn 2025-2029</t>
  </si>
  <si>
    <t>-</t>
  </si>
  <si>
    <r>
      <t xml:space="preserve">Chi thăm hỏi ốm đau, chi phúng viếng, chi hỗ trợ khi gia đình gặp khó khăn: </t>
    </r>
    <r>
      <rPr>
        <sz val="14"/>
        <color theme="1"/>
        <rFont val="Times New Roman"/>
        <family val="1"/>
      </rPr>
      <t>Đối với các vị lão thành cách mạng, chiến sĩ cách mạng tiêu biểu, Bà mẹ Việt Nam anh hùng, Anh hùng lực lượng vũ trang, cán bộ Mặt trận tổ quốc Việt Nam các cấp qua các thời kỳ gồm: Chủ tịch, các Phó Chủ tịch, các Ủy viên chuyên trách; các Ủy viên Ủy ban Mặt trận tổ quốc Việt Nam các cấp đương nhiệm; các chức sắc, chức việc tôn giáo, nhân sỹ, trí thức tiêu biểu và người có uy tín, tiêu biểu trong đồng bào dân tộc thiểu số có đóng góp tích cực trong công cuộc xây dựng, bảo vệ tổ quốc và củng cố khối đại đoàn kết dân tộc</t>
    </r>
  </si>
  <si>
    <t>Số lượng</t>
  </si>
  <si>
    <t>Thành tiền</t>
  </si>
  <si>
    <t>A</t>
  </si>
  <si>
    <t>B</t>
  </si>
  <si>
    <t>TỔNG CỘNG</t>
  </si>
  <si>
    <t>Đối với huyện Định Quán</t>
  </si>
  <si>
    <t>Đối với huyện Xuân Lộc</t>
  </si>
  <si>
    <t>Đối với huyện Tân Phú</t>
  </si>
  <si>
    <t>Đối với huyện Vĩnh Cửu</t>
  </si>
  <si>
    <t>Đối với huyện Nhơn Trạch</t>
  </si>
  <si>
    <t>Đối với huyện Thống Nhất</t>
  </si>
  <si>
    <t>Đối với huyện Long Thành</t>
  </si>
  <si>
    <t>Đối với thành phố Long Khánh</t>
  </si>
  <si>
    <t>Đối với huyện Cẩm Mỹ</t>
  </si>
  <si>
    <t>Đối với Thành phố Biên Hòa</t>
  </si>
  <si>
    <t>Đối với thành phố Biên Hòa</t>
  </si>
  <si>
    <t>Đối với huyện Trảng Bom</t>
  </si>
  <si>
    <t>Quyết định số 04/2024/QĐ-TTg</t>
  </si>
  <si>
    <t>Dự thảo Nghị quyết</t>
  </si>
  <si>
    <t>Đối với cấp xã</t>
  </si>
  <si>
    <t>Tặng quà chúc mừng các hội nghị, đại hội của tổ chức tôn giáo, lễ hội của đồng bào dân tộc  được tổ chức trên địa bàn tỉnh</t>
  </si>
  <si>
    <t>1.000.000 đồng/ người</t>
  </si>
  <si>
    <t>Nội dung</t>
  </si>
  <si>
    <t>Chi tặng quà: Đối với các đoàn đại biểu và cá nhân đến thăm và làm việc</t>
  </si>
  <si>
    <t>Các cá nhân được Ủy ban Mặt trận Tổ quốc Việt Nam các cấp đến thăm hỏi, chúc mừng, phúng viếng</t>
  </si>
  <si>
    <t>Chi tặng quà chúc mừng nhân ngày Tết nguyên đán, ngày lễ hoặc ngày lễ trọng</t>
  </si>
  <si>
    <t>1.000.000 đồng/người/lần; 
không quá 3.000.000 đồng/người/năm</t>
  </si>
  <si>
    <t>Chi thăm hỏi ốm đau, chi phúng viếng, chi hỗ trợ khi gia đình gặp khó khăn:</t>
  </si>
  <si>
    <t>Chi thăm hỏi khi ốm đau hoặc gặp khó khăn về kinh tế</t>
  </si>
  <si>
    <t>Chi phúng viếng khi cá nhân qua đời (bao gồm cả vòng hoa)</t>
  </si>
  <si>
    <t>Tặng hoa, quà chúc mừng các vị chức sắc, chức việc tôn giáo tiêu biểu được phong phẩm và nhân dịp lễ trọng; mua lễ vật dự đám giỗ các vị lão thành cách mạng, chiến sĩ cách mạng tiêu biểu, Bà mẹ Việt Nam anh hùng, cán bộ Mặt trận tổ quốc Việt Nam các cấp qua các thời kỳ, các vị chức sắc, chức việc tôn giáo, các vị nhân sỹ, trí thức tiêu biểu và người có uy tín, tiêu biểu trong đồng bào dân tộc thiểu số có đóng góp tích cực trong công cuộc xây dựng, bảo vệ Tổ quốc và củng cố khối đại đoàn kết toàn dân tộc</t>
  </si>
  <si>
    <t>Tặng quà chúc mừng các hội nghị, đại hội của tổ chức tôn giáo, lễ hội của đồng bào dân tộc được tổ chức trên địa bàn tỉnh.</t>
  </si>
  <si>
    <t>Các cấp
1.500.000 đồng/lần.</t>
  </si>
  <si>
    <t>4.000.000 đồng/ người</t>
  </si>
  <si>
    <t>5.000.000 đồng/ người/ năm</t>
  </si>
  <si>
    <t>2.000.000 đồng/ người/ lần</t>
  </si>
  <si>
    <t>1.000.000 đồng/ người/ lần</t>
  </si>
  <si>
    <t>1.500.000 đồng/ người/ lần</t>
  </si>
  <si>
    <t>Không quy định</t>
  </si>
  <si>
    <t>Chi tặng quà chúc mừng ngày tết Nguyên đán, ngày lễ hoặc ngày lễ trọng thể</t>
  </si>
  <si>
    <t>Chi tặng quà lưu niệm nhân dịp đón các đoàn đại biểu và cá nhân đến thăm, làm việc</t>
  </si>
  <si>
    <t>5=4/3</t>
  </si>
  <si>
    <t>NQ số 03/2024/NQ-HĐND ngày 11/7/2024 của HĐND tỉnh Cà Mau</t>
  </si>
  <si>
    <t>NQ số 03/2024/NQ-HĐND ngày 11/7/2024 của HĐND tỉnh Vĩnh Long</t>
  </si>
  <si>
    <t>Dự thảo NQ của 
Tỉnh Đồng Nai</t>
  </si>
  <si>
    <t>NQ số 08/2024/NQ-HĐND ngày 02/7/2024 của HĐND tỉnh Long An</t>
  </si>
  <si>
    <t>2.000.000 đồng/người/lần; 
không quá 4.000.000 đồng/người/năm</t>
  </si>
  <si>
    <t>1.000.000 đồng/người/lần; 
không quá 2.000.000 đồng/người/năm</t>
  </si>
  <si>
    <t>500.000 đồng/người/lần; 
không quá 1.000.000 đồng/người/năm</t>
  </si>
  <si>
    <t>1.000.000 đồng/người</t>
  </si>
  <si>
    <t>600.000 đồng/người</t>
  </si>
  <si>
    <t>800.000 đồng/người</t>
  </si>
  <si>
    <t>1.000.000 đồng/người; 
không quá 3.000.000 đồng/năm</t>
  </si>
  <si>
    <t>800.000 đồng/người; 
không quá 2.400.000 đồng/năm</t>
  </si>
  <si>
    <t>500.000 đồng/người; 
không quá 1.500.000 đồng/năm</t>
  </si>
  <si>
    <t>600.000 đồng/người; 
không quá 1.800.000 đồng/năm</t>
  </si>
  <si>
    <t>400.000 đồng/người; 
không quá 1.200.000 đồng/năm</t>
  </si>
  <si>
    <t>5.000.000 đồng/người/năm</t>
  </si>
  <si>
    <t>3.000.000 đồng/người/năm</t>
  </si>
  <si>
    <t>2.000.000 đồng/người/năm</t>
  </si>
  <si>
    <t>4.000.000 đồng/người/năm</t>
  </si>
  <si>
    <t>2.500.000 đồng/người/năm</t>
  </si>
  <si>
    <t>1.300.000 đồng/người/năm</t>
  </si>
  <si>
    <t>1.000.000 đồng/người/năm</t>
  </si>
  <si>
    <t>4.000.000 đồng/người</t>
  </si>
  <si>
    <t>2.000.000 đồng/người</t>
  </si>
  <si>
    <t>1.500.000 đồng/người</t>
  </si>
  <si>
    <t>3.200.000 đồng/người</t>
  </si>
  <si>
    <t>2.400.000 đồng/người</t>
  </si>
  <si>
    <t>3.500.000 đồng/người</t>
  </si>
  <si>
    <t>2.500.000 đồng/người</t>
  </si>
  <si>
    <t>C</t>
  </si>
  <si>
    <t>NỘI DUNG THỰC HIỆN</t>
  </si>
  <si>
    <t>Bình quân mỗi năm</t>
  </si>
  <si>
    <t>Tặng hoa, quà chúc mừng các vị chức sắc, chức việc tôn giáo tiêu biểu được phong phẩm và nhân dịp lễ trọng; mua lễ vật dự đám giỗ các vị …..., bảo vệ Tổ quốc và củng cố khối đại đoàn kết toàn dân tộc</t>
  </si>
  <si>
    <t>6=4/C</t>
  </si>
  <si>
    <t>Phương án 1:</t>
  </si>
  <si>
    <t>Phương án 2: bao gồm cả mức chi các trường hợp đặc biệt</t>
  </si>
  <si>
    <t>Chi thăm hỏi ốm đau, chi phúng viếng, chi hỗ trợ khi gia đình gặp khó khăn</t>
  </si>
  <si>
    <t>*</t>
  </si>
  <si>
    <t>500.000 đồng/đại biểu</t>
  </si>
  <si>
    <t>500.000 đồng/đại biểu;
không quá 02 lần/01 năm</t>
  </si>
  <si>
    <t>1.500.000 đồng/01 người/01 năm</t>
  </si>
  <si>
    <t>800.000 đồng/01/người/01 năm</t>
  </si>
  <si>
    <t>1.000.000 đồng/01 người</t>
  </si>
  <si>
    <t>500.000 đồng/01 người</t>
  </si>
  <si>
    <t>1.000.000 đồng/01 gia đình</t>
  </si>
  <si>
    <t>500.000 đồng/01 gia đình</t>
  </si>
  <si>
    <t>500.000 đồng/01 người/01 lần</t>
  </si>
  <si>
    <t>2.000.000 đồng/người/lần</t>
  </si>
  <si>
    <t>1.500.000 đồng/người/lần</t>
  </si>
  <si>
    <t>1.000.000 đồng/người/lần</t>
  </si>
  <si>
    <t>500.000 đồng/01 lần</t>
  </si>
  <si>
    <t>THAM KHẢO MỨC CHI CỦA CÁC TỈNH</t>
  </si>
  <si>
    <t>Phương án 2: LÀM TRÒN</t>
  </si>
  <si>
    <t>S
T
T</t>
  </si>
  <si>
    <t>Quyết định số 
04/2024/QĐ-TTg</t>
  </si>
  <si>
    <t>Tỷ lệ 
%</t>
  </si>
  <si>
    <t>3=2/1</t>
  </si>
  <si>
    <t>5=4/1</t>
  </si>
  <si>
    <t>7=6/1</t>
  </si>
  <si>
    <t>9=8/1</t>
  </si>
  <si>
    <t>10%
-&gt;20%</t>
  </si>
  <si>
    <t>20%
-&gt;40%</t>
  </si>
  <si>
    <t>40%
-&gt;80%</t>
  </si>
  <si>
    <t>Phụ lục đính kèm báo cáo đánh giá tác động chính sách</t>
  </si>
  <si>
    <t>Giải pháp 1:</t>
  </si>
  <si>
    <t>Giải pháp 2: bao gồm cả mức chi các trường hợp đặc biệt</t>
  </si>
  <si>
    <t xml:space="preserve">CHÊNH LỆCH </t>
  </si>
  <si>
    <t>Quyết định 
số 04/2024/QĐ-TTg</t>
  </si>
  <si>
    <t>PHỤ LỤC I</t>
  </si>
  <si>
    <t>PHỤ LỤC II</t>
  </si>
  <si>
    <t>PHỤ LỤC III</t>
  </si>
  <si>
    <t xml:space="preserve">PHỤ LỤC ĐÍNH KÈM DỰ THẢO TỜ TRÌNH ĐỀ NGHỊ XÂY DỰNG NGHỊ QUYẾT CỦA HỘI ĐỒNG NHÂN DÂN TỈNH
QUY ĐỊNH CHẾ ĐỘ CHI ĐÓN TIẾP, THĂM HỎI, CHÚC MỪNG ĐỐI VỚI MỘT SỐ ĐỐI TƯỢNG DO ỦY BAN MẶT TRẬN TỔ QUỐC VIỆT NAM CẤP TỈNH, CẤP HUYỆN THỰC HIỆN TRÊN ĐỊA BÀN TỈNH ĐỒNG NAI 
</t>
  </si>
  <si>
    <t>BÁO CÁO SỐ KINH PHÍ ĐÃ THỰC HIỆN GIAI ĐOẠN 2019-2023 THỰC HIỆN THEO NGHỊ QUYẾT SỐ 124/2014/NQ-HĐND NGÀY 26 THÁNG 9 NĂM 2014 QUY ĐỊNH MỨC CHI ĐÓN TIẾP, THĂM HỎI, CHÚC MỪNG ĐỐI VỚI MỘT SỐ ĐỐI TƯỢNG DO ỦY BAN MẶT TRẬN TỔ QUỐC VIỆT NAM CẤP TỈNH, CẤP HUYỆN THỰC HIỆN TRÊN ĐỊA BÀN TỈNH ĐỒNG NAI</t>
  </si>
  <si>
    <t>(Ban hành kèm theo Tờ trình số:.../TTr-UBND ngày... tháng... năm 2024 của Ủy ban nhân dân tỉnh Đồng Nai)</t>
  </si>
  <si>
    <t xml:space="preserve">PHỤ LỤC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</si>
</sst>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_(* #,##0_);_(* \(#,##0\);_(* &quot;-&quot;??_);_(@_)"/>
    <numFmt numFmtId="166" formatCode="_-* #,##0\ _₫_-;\-* #,##0\ _₫_-;_-* &quot;-&quot;??\ _₫_-;_-@_-"/>
    <numFmt numFmtId="167" formatCode="#,##0;[Red]#,##0"/>
    <numFmt numFmtId="168" formatCode="0.0%"/>
  </numFmts>
  <fonts count="12" x14ac:knownFonts="1">
    <font>
      <sz val="11"/>
      <color theme="1"/>
      <name val="Arial"/>
      <family val="2"/>
      <scheme val="minor"/>
    </font>
    <font>
      <sz val="11"/>
      <color theme="1"/>
      <name val="Arial"/>
      <family val="2"/>
      <scheme val="minor"/>
    </font>
    <font>
      <sz val="14"/>
      <color theme="1"/>
      <name val="Times New Roman"/>
      <family val="1"/>
    </font>
    <font>
      <sz val="14"/>
      <color rgb="FF000000"/>
      <name val="Times New Roman"/>
      <family val="1"/>
    </font>
    <font>
      <b/>
      <sz val="14"/>
      <color theme="1"/>
      <name val="Times New Roman"/>
      <family val="1"/>
    </font>
    <font>
      <b/>
      <sz val="14"/>
      <color rgb="FF000000"/>
      <name val="Times New Roman"/>
      <family val="1"/>
    </font>
    <font>
      <sz val="14"/>
      <name val="Times New Roman"/>
      <family val="1"/>
    </font>
    <font>
      <b/>
      <sz val="14"/>
      <name val="Times New Roman"/>
      <family val="1"/>
    </font>
    <font>
      <sz val="9"/>
      <color indexed="81"/>
      <name val="Tahoma"/>
      <family val="2"/>
    </font>
    <font>
      <b/>
      <sz val="9"/>
      <color indexed="81"/>
      <name val="Tahoma"/>
      <family val="2"/>
    </font>
    <font>
      <u/>
      <sz val="14"/>
      <color theme="1"/>
      <name val="Times New Roman"/>
      <family val="1"/>
    </font>
    <font>
      <sz val="14"/>
      <color theme="0"/>
      <name val="Times New Roman"/>
      <family val="1"/>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164" fontId="1" fillId="0" borderId="0" applyFont="0" applyFill="0" applyBorder="0" applyAlignment="0" applyProtection="0"/>
  </cellStyleXfs>
  <cellXfs count="145">
    <xf numFmtId="0" fontId="0" fillId="0" borderId="0" xfId="0"/>
    <xf numFmtId="0" fontId="2" fillId="0" borderId="0" xfId="0" applyFont="1"/>
    <xf numFmtId="0" fontId="4" fillId="0" borderId="0" xfId="0" applyFont="1"/>
    <xf numFmtId="0" fontId="2" fillId="0" borderId="0" xfId="0" applyFont="1" applyAlignment="1">
      <alignment horizontal="center"/>
    </xf>
    <xf numFmtId="0" fontId="2" fillId="0" borderId="0" xfId="0" applyFont="1" applyAlignment="1">
      <alignment vertical="center"/>
    </xf>
    <xf numFmtId="0" fontId="4" fillId="0" borderId="0" xfId="0" applyFont="1" applyAlignment="1">
      <alignment vertical="center"/>
    </xf>
    <xf numFmtId="0" fontId="5" fillId="0" borderId="1" xfId="0" applyFont="1" applyBorder="1" applyAlignment="1">
      <alignment horizontal="justify" vertical="center"/>
    </xf>
    <xf numFmtId="0" fontId="2" fillId="0" borderId="1" xfId="0" applyFont="1" applyBorder="1" applyAlignment="1">
      <alignment vertical="center"/>
    </xf>
    <xf numFmtId="0" fontId="2" fillId="0" borderId="1" xfId="0" applyFont="1" applyBorder="1" applyAlignment="1">
      <alignment horizontal="justify" vertical="center"/>
    </xf>
    <xf numFmtId="0" fontId="4" fillId="0" borderId="1" xfId="0" applyFont="1" applyBorder="1" applyAlignment="1">
      <alignment horizontal="justify" vertical="center"/>
    </xf>
    <xf numFmtId="0" fontId="2" fillId="0" borderId="1" xfId="0" applyFont="1" applyBorder="1" applyAlignment="1">
      <alignment horizontal="center" vertical="center"/>
    </xf>
    <xf numFmtId="0" fontId="2" fillId="0" borderId="1" xfId="0" quotePrefix="1" applyFont="1" applyBorder="1" applyAlignment="1">
      <alignment horizontal="center" vertical="center"/>
    </xf>
    <xf numFmtId="0" fontId="3" fillId="0" borderId="1" xfId="0" applyFont="1" applyBorder="1" applyAlignment="1">
      <alignment horizontal="center"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5" fillId="0" borderId="3" xfId="0" applyFont="1" applyBorder="1" applyAlignment="1">
      <alignment horizontal="justify" vertical="center"/>
    </xf>
    <xf numFmtId="0" fontId="4" fillId="0" borderId="3" xfId="0" applyFont="1" applyBorder="1" applyAlignment="1">
      <alignment vertical="center"/>
    </xf>
    <xf numFmtId="0" fontId="2" fillId="0" borderId="3" xfId="0" applyFont="1" applyBorder="1" applyAlignment="1">
      <alignment horizontal="center" vertical="center"/>
    </xf>
    <xf numFmtId="0" fontId="2" fillId="0" borderId="3" xfId="0" applyFont="1" applyBorder="1" applyAlignment="1">
      <alignment horizontal="justify" vertical="center"/>
    </xf>
    <xf numFmtId="0" fontId="2" fillId="0" borderId="3" xfId="0" applyFont="1" applyBorder="1" applyAlignment="1">
      <alignment vertical="center"/>
    </xf>
    <xf numFmtId="10" fontId="2" fillId="0" borderId="3" xfId="1" applyNumberFormat="1" applyFont="1" applyBorder="1" applyAlignment="1">
      <alignment vertical="center"/>
    </xf>
    <xf numFmtId="0" fontId="2" fillId="0" borderId="3" xfId="0" quotePrefix="1" applyFont="1" applyBorder="1" applyAlignment="1">
      <alignment horizontal="center" vertical="center"/>
    </xf>
    <xf numFmtId="165" fontId="3" fillId="0" borderId="3" xfId="2" applyNumberFormat="1" applyFont="1" applyBorder="1" applyAlignment="1">
      <alignment horizontal="center" vertical="center"/>
    </xf>
    <xf numFmtId="3" fontId="2" fillId="0" borderId="3" xfId="1" applyNumberFormat="1" applyFont="1" applyBorder="1" applyAlignment="1">
      <alignment vertical="center"/>
    </xf>
    <xf numFmtId="0" fontId="3" fillId="0" borderId="3" xfId="0" applyFont="1" applyBorder="1" applyAlignment="1">
      <alignment horizontal="center" vertical="center"/>
    </xf>
    <xf numFmtId="0" fontId="6" fillId="0" borderId="3" xfId="0" applyFont="1" applyBorder="1" applyAlignment="1">
      <alignment horizontal="center" vertical="center"/>
    </xf>
    <xf numFmtId="3" fontId="6" fillId="0" borderId="3" xfId="0" applyNumberFormat="1" applyFont="1" applyBorder="1" applyAlignment="1">
      <alignment horizontal="center" vertical="center"/>
    </xf>
    <xf numFmtId="0" fontId="3" fillId="0" borderId="3" xfId="0" applyFont="1" applyBorder="1" applyAlignment="1">
      <alignment horizontal="justify" vertical="center"/>
    </xf>
    <xf numFmtId="0" fontId="4" fillId="0" borderId="3" xfId="0" applyFont="1" applyBorder="1" applyAlignment="1">
      <alignment horizontal="justify" vertical="center"/>
    </xf>
    <xf numFmtId="165" fontId="3" fillId="0" borderId="3" xfId="2" applyNumberFormat="1" applyFont="1" applyBorder="1" applyAlignment="1">
      <alignment horizontal="justify" vertical="center"/>
    </xf>
    <xf numFmtId="0" fontId="6" fillId="2" borderId="3" xfId="0" applyFont="1" applyFill="1" applyBorder="1" applyAlignment="1">
      <alignment horizontal="center" vertical="center"/>
    </xf>
    <xf numFmtId="3" fontId="6" fillId="2" borderId="3" xfId="0" applyNumberFormat="1" applyFont="1" applyFill="1" applyBorder="1" applyAlignment="1">
      <alignment horizontal="center" vertical="center"/>
    </xf>
    <xf numFmtId="165" fontId="2" fillId="0" borderId="3" xfId="2" applyNumberFormat="1" applyFont="1" applyBorder="1" applyAlignment="1">
      <alignment horizontal="center" vertical="center"/>
    </xf>
    <xf numFmtId="0" fontId="2" fillId="0" borderId="3" xfId="0" applyFont="1" applyBorder="1" applyAlignment="1">
      <alignment horizontal="center"/>
    </xf>
    <xf numFmtId="0" fontId="2" fillId="0" borderId="3" xfId="0" applyFont="1" applyBorder="1"/>
    <xf numFmtId="0" fontId="4" fillId="0" borderId="4" xfId="0" applyFont="1" applyBorder="1" applyAlignment="1">
      <alignment horizontal="center"/>
    </xf>
    <xf numFmtId="0" fontId="4" fillId="0" borderId="4" xfId="0" applyFont="1" applyBorder="1"/>
    <xf numFmtId="3" fontId="4" fillId="0" borderId="4" xfId="0" applyNumberFormat="1" applyFont="1" applyBorder="1"/>
    <xf numFmtId="3" fontId="4" fillId="0" borderId="3" xfId="1" applyNumberFormat="1" applyFont="1" applyBorder="1" applyAlignment="1">
      <alignment vertical="center"/>
    </xf>
    <xf numFmtId="0" fontId="4" fillId="0" borderId="3" xfId="0" quotePrefix="1" applyFont="1" applyBorder="1" applyAlignment="1">
      <alignment horizontal="center" vertical="center"/>
    </xf>
    <xf numFmtId="0" fontId="7" fillId="0" borderId="3" xfId="0" applyFont="1" applyBorder="1" applyAlignment="1">
      <alignment horizontal="center" vertical="center"/>
    </xf>
    <xf numFmtId="3" fontId="7" fillId="0" borderId="3" xfId="0" applyNumberFormat="1" applyFont="1" applyBorder="1" applyAlignment="1">
      <alignment horizontal="center" vertical="center"/>
    </xf>
    <xf numFmtId="0" fontId="5" fillId="0" borderId="3" xfId="0" applyFont="1" applyBorder="1" applyAlignment="1">
      <alignment horizontal="center" vertical="center"/>
    </xf>
    <xf numFmtId="165" fontId="5" fillId="0" borderId="3" xfId="2" applyNumberFormat="1" applyFont="1" applyBorder="1" applyAlignment="1">
      <alignment horizontal="center" vertical="center"/>
    </xf>
    <xf numFmtId="3" fontId="6" fillId="0" borderId="3" xfId="0" applyNumberFormat="1" applyFont="1" applyBorder="1" applyAlignment="1">
      <alignment horizontal="right" vertical="center"/>
    </xf>
    <xf numFmtId="3" fontId="2" fillId="0" borderId="3" xfId="0" applyNumberFormat="1" applyFont="1" applyBorder="1" applyAlignment="1">
      <alignment horizontal="center" vertical="center"/>
    </xf>
    <xf numFmtId="3" fontId="3" fillId="0" borderId="3" xfId="0" applyNumberFormat="1" applyFont="1" applyBorder="1" applyAlignment="1">
      <alignment horizontal="right" vertical="center"/>
    </xf>
    <xf numFmtId="3" fontId="4" fillId="0" borderId="3" xfId="0" applyNumberFormat="1" applyFont="1" applyBorder="1" applyAlignment="1">
      <alignment horizontal="center" vertical="center"/>
    </xf>
    <xf numFmtId="3" fontId="5" fillId="0" borderId="3" xfId="0" applyNumberFormat="1" applyFont="1" applyBorder="1" applyAlignment="1">
      <alignment horizontal="right" vertical="center"/>
    </xf>
    <xf numFmtId="166" fontId="3" fillId="0" borderId="3" xfId="2" applyNumberFormat="1" applyFont="1" applyBorder="1" applyAlignment="1">
      <alignment horizontal="right" vertical="center"/>
    </xf>
    <xf numFmtId="166" fontId="5" fillId="0" borderId="3" xfId="2" applyNumberFormat="1" applyFont="1" applyBorder="1" applyAlignment="1">
      <alignment horizontal="center" vertical="center"/>
    </xf>
    <xf numFmtId="166" fontId="3" fillId="0" borderId="3" xfId="2" applyNumberFormat="1" applyFont="1" applyBorder="1" applyAlignment="1"/>
    <xf numFmtId="166" fontId="5" fillId="0" borderId="3" xfId="2" applyNumberFormat="1" applyFont="1" applyBorder="1" applyAlignment="1">
      <alignment horizontal="right" vertical="center"/>
    </xf>
    <xf numFmtId="3" fontId="5" fillId="0" borderId="3" xfId="0" applyNumberFormat="1" applyFont="1" applyBorder="1" applyAlignment="1">
      <alignment horizontal="center" vertical="center"/>
    </xf>
    <xf numFmtId="165" fontId="3" fillId="0" borderId="3" xfId="2" applyNumberFormat="1" applyFont="1" applyBorder="1" applyAlignment="1">
      <alignment horizontal="left" vertical="center" indent="1"/>
    </xf>
    <xf numFmtId="165" fontId="5" fillId="0" borderId="3" xfId="2" applyNumberFormat="1" applyFont="1" applyBorder="1" applyAlignment="1">
      <alignment horizontal="left" vertical="center" indent="1"/>
    </xf>
    <xf numFmtId="3" fontId="3" fillId="0" borderId="3" xfId="0" applyNumberFormat="1" applyFont="1" applyBorder="1" applyAlignment="1">
      <alignment horizontal="center" vertical="center"/>
    </xf>
    <xf numFmtId="167" fontId="2" fillId="0" borderId="3" xfId="0" applyNumberFormat="1" applyFont="1" applyBorder="1" applyAlignment="1">
      <alignment horizontal="center" vertical="center"/>
    </xf>
    <xf numFmtId="167" fontId="3" fillId="0" borderId="3" xfId="0" applyNumberFormat="1" applyFont="1" applyBorder="1" applyAlignment="1">
      <alignment horizontal="right" vertical="center"/>
    </xf>
    <xf numFmtId="166" fontId="3" fillId="0" borderId="3" xfId="2" applyNumberFormat="1" applyFont="1" applyBorder="1" applyAlignment="1">
      <alignment vertical="center"/>
    </xf>
    <xf numFmtId="166" fontId="5" fillId="0" borderId="3" xfId="2" applyNumberFormat="1" applyFont="1" applyBorder="1" applyAlignment="1">
      <alignment vertical="center"/>
    </xf>
    <xf numFmtId="0" fontId="3" fillId="0" borderId="3" xfId="0" applyFont="1" applyBorder="1" applyAlignment="1">
      <alignment horizontal="right" vertical="center"/>
    </xf>
    <xf numFmtId="3" fontId="3" fillId="0" borderId="3" xfId="0" applyNumberFormat="1" applyFont="1" applyBorder="1" applyAlignment="1">
      <alignment vertical="center"/>
    </xf>
    <xf numFmtId="0" fontId="5" fillId="0" borderId="3" xfId="0" applyFont="1" applyBorder="1" applyAlignment="1">
      <alignment horizontal="right" vertical="center"/>
    </xf>
    <xf numFmtId="3" fontId="5" fillId="0" borderId="3" xfId="0" applyNumberFormat="1" applyFont="1" applyBorder="1" applyAlignment="1">
      <alignment vertical="center"/>
    </xf>
    <xf numFmtId="167" fontId="3" fillId="0" borderId="3" xfId="0" applyNumberFormat="1" applyFont="1" applyBorder="1" applyAlignment="1">
      <alignment horizontal="center" vertical="center"/>
    </xf>
    <xf numFmtId="166" fontId="3" fillId="0" borderId="3" xfId="2" applyNumberFormat="1" applyFont="1" applyBorder="1" applyAlignment="1">
      <alignment horizontal="center" vertical="center"/>
    </xf>
    <xf numFmtId="166" fontId="2" fillId="0" borderId="3" xfId="2" applyNumberFormat="1" applyFont="1" applyBorder="1" applyAlignment="1">
      <alignment horizontal="center" vertical="center"/>
    </xf>
    <xf numFmtId="167" fontId="2" fillId="0" borderId="3" xfId="0" applyNumberFormat="1" applyFont="1" applyBorder="1" applyAlignment="1">
      <alignment horizontal="center"/>
    </xf>
    <xf numFmtId="167" fontId="2" fillId="0" borderId="3" xfId="0" applyNumberFormat="1" applyFont="1" applyBorder="1"/>
    <xf numFmtId="0" fontId="2" fillId="0" borderId="0" xfId="0" applyFont="1" applyAlignment="1">
      <alignment horizontal="center"/>
    </xf>
    <xf numFmtId="0" fontId="4" fillId="0" borderId="1" xfId="0" applyFont="1" applyBorder="1" applyAlignment="1">
      <alignment horizontal="center" vertical="center"/>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10" fontId="4" fillId="0" borderId="1" xfId="1" applyNumberFormat="1" applyFont="1" applyBorder="1" applyAlignment="1">
      <alignment horizontal="center" vertical="center"/>
    </xf>
    <xf numFmtId="10" fontId="2" fillId="0" borderId="1" xfId="1" applyNumberFormat="1" applyFont="1" applyBorder="1" applyAlignment="1">
      <alignment horizontal="center" vertical="center"/>
    </xf>
    <xf numFmtId="0" fontId="4" fillId="0" borderId="1" xfId="0" applyFont="1" applyBorder="1" applyAlignment="1">
      <alignment horizontal="center" vertical="center" wrapText="1"/>
    </xf>
    <xf numFmtId="0" fontId="2" fillId="0" borderId="0" xfId="0" applyFont="1" applyAlignment="1">
      <alignment horizontal="center" vertical="center"/>
    </xf>
    <xf numFmtId="0" fontId="2" fillId="0" borderId="6" xfId="0" applyFont="1" applyBorder="1" applyAlignment="1"/>
    <xf numFmtId="0" fontId="4" fillId="2" borderId="0" xfId="0" applyFont="1" applyFill="1"/>
    <xf numFmtId="0" fontId="2" fillId="2" borderId="0" xfId="0" applyFont="1" applyFill="1"/>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2" fillId="0" borderId="0" xfId="0" applyFont="1" applyAlignment="1">
      <alignment horizont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2" fillId="2" borderId="0" xfId="0" applyFont="1" applyFill="1" applyAlignment="1">
      <alignment vertical="center"/>
    </xf>
    <xf numFmtId="3" fontId="2" fillId="0" borderId="0" xfId="0" applyNumberFormat="1" applyFont="1"/>
    <xf numFmtId="0" fontId="0" fillId="0" borderId="0" xfId="0" applyAlignment="1">
      <alignment horizontal="center"/>
    </xf>
    <xf numFmtId="0" fontId="4" fillId="0" borderId="2" xfId="0" applyFont="1" applyBorder="1" applyAlignment="1">
      <alignment horizontal="center" vertical="center" wrapText="1"/>
    </xf>
    <xf numFmtId="10" fontId="2" fillId="0" borderId="3" xfId="1" applyNumberFormat="1" applyFont="1" applyBorder="1" applyAlignment="1">
      <alignment horizontal="center" vertical="center"/>
    </xf>
    <xf numFmtId="10" fontId="4" fillId="0" borderId="3" xfId="1" applyNumberFormat="1" applyFont="1" applyBorder="1" applyAlignment="1">
      <alignment horizontal="center" vertical="center"/>
    </xf>
    <xf numFmtId="0" fontId="2" fillId="0" borderId="3" xfId="0" applyFont="1" applyBorder="1" applyAlignment="1">
      <alignment horizontal="center" vertical="center" wrapText="1"/>
    </xf>
    <xf numFmtId="0" fontId="4" fillId="2" borderId="3" xfId="0" applyFont="1" applyFill="1" applyBorder="1" applyAlignment="1">
      <alignment horizontal="center"/>
    </xf>
    <xf numFmtId="0" fontId="4" fillId="2" borderId="3" xfId="0" applyFont="1" applyFill="1" applyBorder="1" applyAlignment="1">
      <alignment horizontal="left"/>
    </xf>
    <xf numFmtId="10" fontId="4" fillId="2" borderId="3" xfId="1" applyNumberFormat="1" applyFont="1" applyFill="1" applyBorder="1" applyAlignment="1">
      <alignment horizontal="center"/>
    </xf>
    <xf numFmtId="10" fontId="2" fillId="2" borderId="3" xfId="1" applyNumberFormat="1" applyFont="1" applyFill="1" applyBorder="1" applyAlignment="1">
      <alignment horizontal="center" vertical="center"/>
    </xf>
    <xf numFmtId="0" fontId="4" fillId="0" borderId="7" xfId="0" applyFont="1" applyBorder="1" applyAlignment="1">
      <alignment horizontal="center" vertical="center"/>
    </xf>
    <xf numFmtId="0" fontId="4" fillId="0" borderId="7" xfId="0" applyFont="1" applyBorder="1" applyAlignment="1">
      <alignment horizontal="center" vertical="center" wrapText="1"/>
    </xf>
    <xf numFmtId="0" fontId="4" fillId="2" borderId="3" xfId="0" applyFont="1" applyFill="1" applyBorder="1" applyAlignment="1">
      <alignment horizontal="center" vertical="center"/>
    </xf>
    <xf numFmtId="0" fontId="4" fillId="2" borderId="3" xfId="0" applyFont="1" applyFill="1" applyBorder="1" applyAlignment="1">
      <alignment vertical="center"/>
    </xf>
    <xf numFmtId="3" fontId="4" fillId="2" borderId="3" xfId="0" applyNumberFormat="1" applyFont="1" applyFill="1" applyBorder="1" applyAlignment="1">
      <alignment horizontal="center" vertical="center"/>
    </xf>
    <xf numFmtId="0" fontId="2" fillId="2" borderId="3" xfId="0" applyFont="1" applyFill="1" applyBorder="1" applyAlignment="1">
      <alignment horizontal="center" vertical="center"/>
    </xf>
    <xf numFmtId="0" fontId="2" fillId="2" borderId="3" xfId="0" applyFont="1" applyFill="1" applyBorder="1" applyAlignment="1">
      <alignment vertical="center"/>
    </xf>
    <xf numFmtId="3" fontId="2" fillId="2" borderId="3" xfId="0" applyNumberFormat="1" applyFont="1" applyFill="1" applyBorder="1" applyAlignment="1">
      <alignment horizontal="center" vertical="center"/>
    </xf>
    <xf numFmtId="0" fontId="2" fillId="2" borderId="3" xfId="0" quotePrefix="1" applyFont="1" applyFill="1" applyBorder="1" applyAlignment="1">
      <alignment horizontal="center" vertical="center"/>
    </xf>
    <xf numFmtId="0" fontId="2" fillId="2" borderId="3" xfId="0" applyFont="1" applyFill="1" applyBorder="1" applyAlignment="1">
      <alignment horizontal="center"/>
    </xf>
    <xf numFmtId="0" fontId="2" fillId="2" borderId="3" xfId="0" applyFont="1" applyFill="1" applyBorder="1"/>
    <xf numFmtId="0" fontId="4" fillId="2" borderId="3" xfId="0" applyFont="1" applyFill="1" applyBorder="1"/>
    <xf numFmtId="3" fontId="2" fillId="2" borderId="3" xfId="0" applyNumberFormat="1" applyFont="1" applyFill="1" applyBorder="1"/>
    <xf numFmtId="3" fontId="4" fillId="2" borderId="3" xfId="0" applyNumberFormat="1" applyFont="1" applyFill="1" applyBorder="1"/>
    <xf numFmtId="3" fontId="2" fillId="2" borderId="3" xfId="0" applyNumberFormat="1" applyFont="1" applyFill="1" applyBorder="1" applyAlignment="1">
      <alignment vertical="center"/>
    </xf>
    <xf numFmtId="3" fontId="2" fillId="2" borderId="3" xfId="0" applyNumberFormat="1" applyFont="1" applyFill="1" applyBorder="1" applyAlignment="1">
      <alignment horizontal="right"/>
    </xf>
    <xf numFmtId="0" fontId="2" fillId="2" borderId="3" xfId="0" applyFont="1" applyFill="1" applyBorder="1" applyAlignment="1">
      <alignment horizontal="left"/>
    </xf>
    <xf numFmtId="3" fontId="4" fillId="2" borderId="3" xfId="0" applyNumberFormat="1" applyFont="1" applyFill="1" applyBorder="1" applyAlignment="1">
      <alignment vertical="center"/>
    </xf>
    <xf numFmtId="3" fontId="2" fillId="2" borderId="3" xfId="0" applyNumberFormat="1" applyFont="1" applyFill="1" applyBorder="1" applyAlignment="1">
      <alignment horizontal="center"/>
    </xf>
    <xf numFmtId="0" fontId="2" fillId="0" borderId="4" xfId="0" applyFont="1" applyBorder="1" applyAlignment="1">
      <alignment horizontal="center"/>
    </xf>
    <xf numFmtId="0" fontId="2" fillId="0" borderId="4" xfId="0" applyFont="1" applyBorder="1"/>
    <xf numFmtId="168" fontId="2" fillId="0" borderId="3" xfId="1" applyNumberFormat="1" applyFont="1" applyBorder="1" applyAlignment="1">
      <alignment horizontal="center" vertical="center"/>
    </xf>
    <xf numFmtId="168" fontId="2" fillId="0" borderId="1" xfId="1" applyNumberFormat="1" applyFont="1" applyBorder="1" applyAlignment="1">
      <alignment horizontal="center" vertical="center"/>
    </xf>
    <xf numFmtId="0" fontId="3" fillId="0" borderId="1" xfId="0" applyFont="1" applyBorder="1" applyAlignment="1">
      <alignment horizontal="center"/>
    </xf>
    <xf numFmtId="0" fontId="4" fillId="0" borderId="5" xfId="0" applyFont="1" applyBorder="1" applyAlignment="1">
      <alignment horizontal="center" vertical="center" wrapText="1"/>
    </xf>
    <xf numFmtId="10" fontId="2" fillId="0" borderId="1" xfId="1" quotePrefix="1" applyNumberFormat="1" applyFont="1" applyBorder="1" applyAlignment="1">
      <alignment horizontal="center" vertical="center" wrapText="1"/>
    </xf>
    <xf numFmtId="0" fontId="4" fillId="0" borderId="4" xfId="0" applyFont="1" applyBorder="1" applyAlignment="1">
      <alignment horizontal="center"/>
    </xf>
    <xf numFmtId="0" fontId="2" fillId="0" borderId="0" xfId="0" applyFont="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4" xfId="0" applyFont="1" applyBorder="1" applyAlignment="1">
      <alignment horizontal="left"/>
    </xf>
    <xf numFmtId="3" fontId="4" fillId="0" borderId="4" xfId="0" applyNumberFormat="1" applyFont="1" applyBorder="1" applyAlignment="1">
      <alignment horizontal="right"/>
    </xf>
    <xf numFmtId="10" fontId="2" fillId="0" borderId="4" xfId="1" applyNumberFormat="1" applyFont="1" applyBorder="1" applyAlignment="1">
      <alignment horizontal="center"/>
    </xf>
    <xf numFmtId="0" fontId="2" fillId="0" borderId="0" xfId="0" applyFont="1" applyAlignment="1">
      <alignment horizontal="center" vertical="center" wrapText="1"/>
    </xf>
    <xf numFmtId="0" fontId="4" fillId="0" borderId="0" xfId="0" applyFont="1" applyAlignment="1">
      <alignment horizontal="center"/>
    </xf>
    <xf numFmtId="0" fontId="4" fillId="0" borderId="4" xfId="0" applyFont="1" applyBorder="1" applyAlignment="1">
      <alignment horizontal="center"/>
    </xf>
    <xf numFmtId="0" fontId="4" fillId="0" borderId="0" xfId="0" applyFont="1" applyAlignment="1">
      <alignment horizontal="center" vertical="center" wrapText="1"/>
    </xf>
    <xf numFmtId="0" fontId="4" fillId="0" borderId="0" xfId="0" applyFont="1" applyAlignment="1">
      <alignment horizontal="center" vertical="center"/>
    </xf>
    <xf numFmtId="0" fontId="2" fillId="0" borderId="3" xfId="0" applyFont="1" applyBorder="1" applyAlignment="1">
      <alignment horizontal="right" vertical="center"/>
    </xf>
    <xf numFmtId="0" fontId="2" fillId="0" borderId="0" xfId="0" applyFont="1" applyAlignment="1">
      <alignment horizontal="center" vertical="center" wrapText="1"/>
    </xf>
    <xf numFmtId="0" fontId="4" fillId="0" borderId="0" xfId="0" applyFont="1" applyAlignment="1">
      <alignment horizontal="center" wrapText="1"/>
    </xf>
    <xf numFmtId="0" fontId="11" fillId="0" borderId="0" xfId="0" applyFont="1" applyAlignment="1">
      <alignment horizontal="center" wrapText="1"/>
    </xf>
    <xf numFmtId="0" fontId="10" fillId="0" borderId="0" xfId="0" applyFont="1" applyAlignment="1">
      <alignment horizont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11" fillId="0" borderId="0" xfId="0" applyFont="1" applyAlignment="1">
      <alignment horizontal="center" vertical="center" wrapText="1"/>
    </xf>
    <xf numFmtId="0" fontId="4" fillId="0" borderId="5" xfId="0" applyFont="1" applyBorder="1" applyAlignment="1">
      <alignment horizontal="center" vertical="center"/>
    </xf>
    <xf numFmtId="0" fontId="4" fillId="0" borderId="8" xfId="0" applyFont="1" applyBorder="1" applyAlignment="1">
      <alignment horizontal="center" vertical="center"/>
    </xf>
  </cellXfs>
  <cellStyles count="3">
    <cellStyle name="Bình thường" xfId="0" builtinId="0"/>
    <cellStyle name="Dấu phẩy" xfId="2" builtinId="3"/>
    <cellStyle name="Phần trăm"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2543175</xdr:colOff>
      <xdr:row>3</xdr:row>
      <xdr:rowOff>161925</xdr:rowOff>
    </xdr:from>
    <xdr:to>
      <xdr:col>1</xdr:col>
      <xdr:colOff>5448300</xdr:colOff>
      <xdr:row>3</xdr:row>
      <xdr:rowOff>161925</xdr:rowOff>
    </xdr:to>
    <xdr:cxnSp macro="">
      <xdr:nvCxnSpPr>
        <xdr:cNvPr id="3" name="Straight Connector 2">
          <a:extLst>
            <a:ext uri="{FF2B5EF4-FFF2-40B4-BE49-F238E27FC236}">
              <a16:creationId xmlns:a16="http://schemas.microsoft.com/office/drawing/2014/main" id="{00000000-0008-0000-0000-000003000000}"/>
            </a:ext>
          </a:extLst>
        </xdr:cNvPr>
        <xdr:cNvCxnSpPr/>
      </xdr:nvCxnSpPr>
      <xdr:spPr>
        <a:xfrm>
          <a:off x="2962275" y="1657350"/>
          <a:ext cx="29051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07"/>
  <sheetViews>
    <sheetView topLeftCell="A116" workbookViewId="0">
      <selection activeCell="A4" sqref="A4:E4"/>
    </sheetView>
  </sheetViews>
  <sheetFormatPr defaultColWidth="9.19140625" defaultRowHeight="18.75" x14ac:dyDescent="0.25"/>
  <cols>
    <col min="1" max="1" width="6.25" style="3" bestFit="1" customWidth="1"/>
    <col min="2" max="2" width="86.671875" style="1" customWidth="1"/>
    <col min="3" max="3" width="11.765625" style="3" bestFit="1" customWidth="1"/>
    <col min="4" max="4" width="13.73046875" style="1" bestFit="1" customWidth="1"/>
    <col min="5" max="5" width="21.453125" style="1" customWidth="1"/>
    <col min="6" max="16384" width="9.19140625" style="1"/>
  </cols>
  <sheetData>
    <row r="1" spans="1:5" ht="18" x14ac:dyDescent="0.2">
      <c r="A1" s="131" t="s">
        <v>135</v>
      </c>
      <c r="B1" s="131"/>
      <c r="C1" s="131"/>
      <c r="D1" s="131"/>
      <c r="E1" s="131"/>
    </row>
    <row r="2" spans="1:5" ht="75" customHeight="1" x14ac:dyDescent="0.2">
      <c r="A2" s="133" t="s">
        <v>139</v>
      </c>
      <c r="B2" s="134"/>
      <c r="C2" s="134"/>
      <c r="D2" s="134"/>
      <c r="E2" s="134"/>
    </row>
    <row r="3" spans="1:5" ht="24" customHeight="1" x14ac:dyDescent="0.2">
      <c r="A3" s="136" t="s">
        <v>140</v>
      </c>
      <c r="B3" s="136"/>
      <c r="C3" s="136"/>
      <c r="D3" s="136"/>
      <c r="E3" s="136"/>
    </row>
    <row r="4" spans="1:5" ht="24" customHeight="1" x14ac:dyDescent="0.2">
      <c r="A4" s="136"/>
      <c r="B4" s="136"/>
      <c r="C4" s="136"/>
      <c r="D4" s="136"/>
      <c r="E4" s="136"/>
    </row>
    <row r="6" spans="1:5" s="4" customFormat="1" ht="18" x14ac:dyDescent="0.2">
      <c r="A6" s="81" t="s">
        <v>1</v>
      </c>
      <c r="B6" s="81" t="s">
        <v>0</v>
      </c>
      <c r="C6" s="82" t="s">
        <v>25</v>
      </c>
      <c r="D6" s="81" t="s">
        <v>11</v>
      </c>
      <c r="E6" s="81" t="s">
        <v>26</v>
      </c>
    </row>
    <row r="7" spans="1:5" s="4" customFormat="1" ht="18" x14ac:dyDescent="0.15">
      <c r="A7" s="97" t="s">
        <v>27</v>
      </c>
      <c r="B7" s="97" t="s">
        <v>28</v>
      </c>
      <c r="C7" s="98">
        <v>1</v>
      </c>
      <c r="D7" s="97">
        <v>2</v>
      </c>
      <c r="E7" s="97">
        <v>3</v>
      </c>
    </row>
    <row r="8" spans="1:5" s="5" customFormat="1" ht="18" x14ac:dyDescent="0.2">
      <c r="A8" s="13" t="s">
        <v>2</v>
      </c>
      <c r="B8" s="15" t="s">
        <v>4</v>
      </c>
      <c r="C8" s="13"/>
      <c r="D8" s="16"/>
      <c r="E8" s="38">
        <f>E9+E29</f>
        <v>1637000000</v>
      </c>
    </row>
    <row r="9" spans="1:5" s="4" customFormat="1" ht="31.5" x14ac:dyDescent="0.2">
      <c r="A9" s="17">
        <v>1</v>
      </c>
      <c r="B9" s="18" t="s">
        <v>3</v>
      </c>
      <c r="C9" s="17"/>
      <c r="D9" s="19"/>
      <c r="E9" s="23">
        <f>E10+E22</f>
        <v>24000000</v>
      </c>
    </row>
    <row r="10" spans="1:5" s="5" customFormat="1" ht="18" x14ac:dyDescent="0.15">
      <c r="A10" s="39" t="s">
        <v>23</v>
      </c>
      <c r="B10" s="16" t="s">
        <v>8</v>
      </c>
      <c r="C10" s="13"/>
      <c r="D10" s="43"/>
      <c r="E10" s="38">
        <f>SUM(E11:E12)</f>
        <v>20000000</v>
      </c>
    </row>
    <row r="11" spans="1:5" s="4" customFormat="1" ht="17.25" customHeight="1" x14ac:dyDescent="0.15">
      <c r="A11" s="21"/>
      <c r="B11" s="19">
        <v>2019</v>
      </c>
      <c r="C11" s="17">
        <f>7+8+11+6</f>
        <v>32</v>
      </c>
      <c r="D11" s="22">
        <v>500000</v>
      </c>
      <c r="E11" s="23">
        <f>C11*D11</f>
        <v>16000000</v>
      </c>
    </row>
    <row r="12" spans="1:5" s="4" customFormat="1" ht="18" x14ac:dyDescent="0.15">
      <c r="A12" s="21"/>
      <c r="B12" s="19">
        <v>2020</v>
      </c>
      <c r="C12" s="17">
        <v>8</v>
      </c>
      <c r="D12" s="22">
        <v>500000</v>
      </c>
      <c r="E12" s="23">
        <f>C12*D12</f>
        <v>4000000</v>
      </c>
    </row>
    <row r="13" spans="1:5" s="4" customFormat="1" ht="18" hidden="1" x14ac:dyDescent="0.15">
      <c r="A13" s="21"/>
      <c r="B13" s="19">
        <v>2021</v>
      </c>
      <c r="C13" s="17"/>
      <c r="D13" s="24"/>
      <c r="E13" s="23"/>
    </row>
    <row r="14" spans="1:5" s="4" customFormat="1" ht="18" hidden="1" x14ac:dyDescent="0.15">
      <c r="A14" s="21"/>
      <c r="B14" s="19">
        <v>2022</v>
      </c>
      <c r="C14" s="17"/>
      <c r="D14" s="24"/>
      <c r="E14" s="23"/>
    </row>
    <row r="15" spans="1:5" s="4" customFormat="1" ht="18" hidden="1" x14ac:dyDescent="0.15">
      <c r="A15" s="21"/>
      <c r="B15" s="19">
        <v>2023</v>
      </c>
      <c r="C15" s="17"/>
      <c r="D15" s="24"/>
      <c r="E15" s="23"/>
    </row>
    <row r="16" spans="1:5" s="4" customFormat="1" ht="18" x14ac:dyDescent="0.15">
      <c r="A16" s="39" t="s">
        <v>23</v>
      </c>
      <c r="B16" s="16" t="s">
        <v>9</v>
      </c>
      <c r="C16" s="17"/>
      <c r="D16" s="24"/>
      <c r="E16" s="23"/>
    </row>
    <row r="17" spans="1:5" s="4" customFormat="1" ht="18" hidden="1" x14ac:dyDescent="0.15">
      <c r="A17" s="21"/>
      <c r="B17" s="19">
        <v>2019</v>
      </c>
      <c r="C17" s="17"/>
      <c r="D17" s="24"/>
      <c r="E17" s="23"/>
    </row>
    <row r="18" spans="1:5" s="4" customFormat="1" ht="18" hidden="1" x14ac:dyDescent="0.15">
      <c r="A18" s="21"/>
      <c r="B18" s="19">
        <v>2020</v>
      </c>
      <c r="C18" s="17"/>
      <c r="D18" s="24"/>
      <c r="E18" s="23"/>
    </row>
    <row r="19" spans="1:5" s="4" customFormat="1" ht="18" hidden="1" x14ac:dyDescent="0.15">
      <c r="A19" s="21"/>
      <c r="B19" s="19">
        <v>2021</v>
      </c>
      <c r="C19" s="17"/>
      <c r="D19" s="24"/>
      <c r="E19" s="23"/>
    </row>
    <row r="20" spans="1:5" s="4" customFormat="1" ht="18" hidden="1" x14ac:dyDescent="0.15">
      <c r="A20" s="21"/>
      <c r="B20" s="19">
        <v>2022</v>
      </c>
      <c r="C20" s="17"/>
      <c r="D20" s="24"/>
      <c r="E20" s="23"/>
    </row>
    <row r="21" spans="1:5" s="4" customFormat="1" ht="18" hidden="1" x14ac:dyDescent="0.15">
      <c r="A21" s="21"/>
      <c r="B21" s="19">
        <v>2023</v>
      </c>
      <c r="C21" s="17"/>
      <c r="D21" s="24"/>
      <c r="E21" s="23"/>
    </row>
    <row r="22" spans="1:5" s="4" customFormat="1" ht="18" x14ac:dyDescent="0.15">
      <c r="A22" s="21"/>
      <c r="B22" s="16" t="s">
        <v>32</v>
      </c>
      <c r="C22" s="17"/>
      <c r="D22" s="24"/>
      <c r="E22" s="38">
        <f>SUM(E23:E27)</f>
        <v>4000000</v>
      </c>
    </row>
    <row r="23" spans="1:5" s="4" customFormat="1" ht="18" hidden="1" x14ac:dyDescent="0.15">
      <c r="A23" s="21"/>
      <c r="B23" s="19">
        <v>2019</v>
      </c>
      <c r="C23" s="17"/>
      <c r="D23" s="24"/>
      <c r="E23" s="23"/>
    </row>
    <row r="24" spans="1:5" s="4" customFormat="1" ht="18" hidden="1" x14ac:dyDescent="0.15">
      <c r="A24" s="21"/>
      <c r="B24" s="19">
        <v>2020</v>
      </c>
      <c r="C24" s="17"/>
      <c r="D24" s="24"/>
      <c r="E24" s="23"/>
    </row>
    <row r="25" spans="1:5" s="4" customFormat="1" ht="18" hidden="1" x14ac:dyDescent="0.15">
      <c r="A25" s="21"/>
      <c r="B25" s="19">
        <v>2021</v>
      </c>
      <c r="C25" s="17"/>
      <c r="D25" s="24"/>
      <c r="E25" s="23"/>
    </row>
    <row r="26" spans="1:5" s="4" customFormat="1" ht="18" hidden="1" x14ac:dyDescent="0.15">
      <c r="A26" s="21"/>
      <c r="B26" s="19">
        <v>2022</v>
      </c>
      <c r="C26" s="17"/>
      <c r="D26" s="24"/>
      <c r="E26" s="23"/>
    </row>
    <row r="27" spans="1:5" s="4" customFormat="1" ht="18" x14ac:dyDescent="0.15">
      <c r="A27" s="21"/>
      <c r="B27" s="19">
        <v>2023</v>
      </c>
      <c r="C27" s="17">
        <v>8</v>
      </c>
      <c r="D27" s="24">
        <v>500000</v>
      </c>
      <c r="E27" s="23">
        <f t="shared" ref="E27" si="0">C27*D27</f>
        <v>4000000</v>
      </c>
    </row>
    <row r="28" spans="1:5" s="4" customFormat="1" ht="18" hidden="1" x14ac:dyDescent="0.15">
      <c r="A28" s="21"/>
      <c r="B28" s="19"/>
      <c r="C28" s="17"/>
      <c r="D28" s="24"/>
      <c r="E28" s="20"/>
    </row>
    <row r="29" spans="1:5" s="4" customFormat="1" ht="47.25" x14ac:dyDescent="0.2">
      <c r="A29" s="17">
        <v>2</v>
      </c>
      <c r="B29" s="18" t="s">
        <v>12</v>
      </c>
      <c r="C29" s="17"/>
      <c r="D29" s="19"/>
      <c r="E29" s="38">
        <f>E30+E36+E55+E61+E67+E73+E79+E85+E91+E97+E103+E109</f>
        <v>1613000000</v>
      </c>
    </row>
    <row r="30" spans="1:5" s="5" customFormat="1" ht="18" x14ac:dyDescent="0.15">
      <c r="A30" s="39" t="s">
        <v>23</v>
      </c>
      <c r="B30" s="16" t="s">
        <v>8</v>
      </c>
      <c r="C30" s="13"/>
      <c r="D30" s="42"/>
      <c r="E30" s="38">
        <f>SUM(E31:E35)</f>
        <v>294000000</v>
      </c>
    </row>
    <row r="31" spans="1:5" s="4" customFormat="1" ht="18" x14ac:dyDescent="0.15">
      <c r="A31" s="21"/>
      <c r="B31" s="19">
        <v>2019</v>
      </c>
      <c r="C31" s="17">
        <f>31+10+15+39</f>
        <v>95</v>
      </c>
      <c r="D31" s="22">
        <v>500000</v>
      </c>
      <c r="E31" s="23">
        <f t="shared" ref="E31:E34" si="1">C31*D31</f>
        <v>47500000</v>
      </c>
    </row>
    <row r="32" spans="1:5" s="4" customFormat="1" ht="18" x14ac:dyDescent="0.15">
      <c r="A32" s="21"/>
      <c r="B32" s="19">
        <v>2020</v>
      </c>
      <c r="C32" s="17">
        <f>70+66-1</f>
        <v>135</v>
      </c>
      <c r="D32" s="22">
        <v>500000</v>
      </c>
      <c r="E32" s="23">
        <f t="shared" si="1"/>
        <v>67500000</v>
      </c>
    </row>
    <row r="33" spans="1:5" s="4" customFormat="1" ht="18" x14ac:dyDescent="0.15">
      <c r="A33" s="21"/>
      <c r="B33" s="19">
        <v>2021</v>
      </c>
      <c r="C33" s="17">
        <f>59+69</f>
        <v>128</v>
      </c>
      <c r="D33" s="22">
        <v>500000</v>
      </c>
      <c r="E33" s="23">
        <f t="shared" si="1"/>
        <v>64000000</v>
      </c>
    </row>
    <row r="34" spans="1:5" s="4" customFormat="1" ht="18" x14ac:dyDescent="0.15">
      <c r="A34" s="21"/>
      <c r="B34" s="19">
        <v>2022</v>
      </c>
      <c r="C34" s="17">
        <f>69+18+16+16</f>
        <v>119</v>
      </c>
      <c r="D34" s="22">
        <v>500000</v>
      </c>
      <c r="E34" s="23">
        <f t="shared" si="1"/>
        <v>59500000</v>
      </c>
    </row>
    <row r="35" spans="1:5" s="4" customFormat="1" ht="18" x14ac:dyDescent="0.15">
      <c r="A35" s="21"/>
      <c r="B35" s="19">
        <v>2023</v>
      </c>
      <c r="C35" s="17">
        <f>16+95</f>
        <v>111</v>
      </c>
      <c r="D35" s="22">
        <v>500000</v>
      </c>
      <c r="E35" s="23">
        <f>C35*D35</f>
        <v>55500000</v>
      </c>
    </row>
    <row r="36" spans="1:5" s="5" customFormat="1" ht="18" x14ac:dyDescent="0.15">
      <c r="A36" s="39"/>
      <c r="B36" s="16" t="s">
        <v>30</v>
      </c>
      <c r="C36" s="13"/>
      <c r="D36" s="42"/>
      <c r="E36" s="38">
        <f>SUM(E37:E41)</f>
        <v>109000000</v>
      </c>
    </row>
    <row r="37" spans="1:5" s="4" customFormat="1" ht="18" x14ac:dyDescent="0.15">
      <c r="A37" s="21"/>
      <c r="B37" s="19">
        <v>2019</v>
      </c>
      <c r="C37" s="25">
        <v>54</v>
      </c>
      <c r="D37" s="44">
        <v>500000</v>
      </c>
      <c r="E37" s="23">
        <f t="shared" ref="E37:E100" si="2">C37*D37</f>
        <v>27000000</v>
      </c>
    </row>
    <row r="38" spans="1:5" s="4" customFormat="1" ht="18" x14ac:dyDescent="0.15">
      <c r="A38" s="21"/>
      <c r="B38" s="19">
        <v>2020</v>
      </c>
      <c r="C38" s="25">
        <v>27</v>
      </c>
      <c r="D38" s="44">
        <v>500000</v>
      </c>
      <c r="E38" s="23">
        <f t="shared" si="2"/>
        <v>13500000</v>
      </c>
    </row>
    <row r="39" spans="1:5" s="4" customFormat="1" ht="18" x14ac:dyDescent="0.15">
      <c r="A39" s="21"/>
      <c r="B39" s="19">
        <v>2021</v>
      </c>
      <c r="C39" s="25">
        <v>27</v>
      </c>
      <c r="D39" s="44">
        <v>500000</v>
      </c>
      <c r="E39" s="23">
        <f t="shared" si="2"/>
        <v>13500000</v>
      </c>
    </row>
    <row r="40" spans="1:5" s="4" customFormat="1" ht="18" x14ac:dyDescent="0.15">
      <c r="A40" s="21"/>
      <c r="B40" s="19">
        <v>2022</v>
      </c>
      <c r="C40" s="25">
        <v>50</v>
      </c>
      <c r="D40" s="44">
        <v>500000</v>
      </c>
      <c r="E40" s="23">
        <f t="shared" si="2"/>
        <v>25000000</v>
      </c>
    </row>
    <row r="41" spans="1:5" s="4" customFormat="1" ht="18" x14ac:dyDescent="0.15">
      <c r="A41" s="21"/>
      <c r="B41" s="19">
        <v>2023</v>
      </c>
      <c r="C41" s="25">
        <v>60</v>
      </c>
      <c r="D41" s="44">
        <v>500000</v>
      </c>
      <c r="E41" s="23">
        <f t="shared" si="2"/>
        <v>30000000</v>
      </c>
    </row>
    <row r="42" spans="1:5" s="4" customFormat="1" ht="18" hidden="1" x14ac:dyDescent="0.2">
      <c r="A42" s="17">
        <v>3</v>
      </c>
      <c r="B42" s="27" t="s">
        <v>13</v>
      </c>
      <c r="C42" s="17"/>
      <c r="D42" s="19"/>
      <c r="E42" s="23">
        <f t="shared" si="2"/>
        <v>0</v>
      </c>
    </row>
    <row r="43" spans="1:5" s="4" customFormat="1" ht="18" hidden="1" x14ac:dyDescent="0.15">
      <c r="A43" s="21" t="s">
        <v>23</v>
      </c>
      <c r="B43" s="19" t="s">
        <v>8</v>
      </c>
      <c r="C43" s="17"/>
      <c r="D43" s="27"/>
      <c r="E43" s="23">
        <f t="shared" si="2"/>
        <v>0</v>
      </c>
    </row>
    <row r="44" spans="1:5" s="4" customFormat="1" ht="18" hidden="1" x14ac:dyDescent="0.15">
      <c r="A44" s="21"/>
      <c r="B44" s="19">
        <v>2019</v>
      </c>
      <c r="C44" s="17"/>
      <c r="D44" s="27"/>
      <c r="E44" s="23">
        <f t="shared" si="2"/>
        <v>0</v>
      </c>
    </row>
    <row r="45" spans="1:5" s="4" customFormat="1" ht="18" hidden="1" x14ac:dyDescent="0.15">
      <c r="A45" s="21"/>
      <c r="B45" s="19">
        <v>2020</v>
      </c>
      <c r="C45" s="17"/>
      <c r="D45" s="27"/>
      <c r="E45" s="23">
        <f t="shared" si="2"/>
        <v>0</v>
      </c>
    </row>
    <row r="46" spans="1:5" s="4" customFormat="1" ht="18" hidden="1" x14ac:dyDescent="0.15">
      <c r="A46" s="21"/>
      <c r="B46" s="19">
        <v>2021</v>
      </c>
      <c r="C46" s="17"/>
      <c r="D46" s="27"/>
      <c r="E46" s="23">
        <f t="shared" si="2"/>
        <v>0</v>
      </c>
    </row>
    <row r="47" spans="1:5" s="4" customFormat="1" ht="18" hidden="1" x14ac:dyDescent="0.15">
      <c r="A47" s="21"/>
      <c r="B47" s="19">
        <v>2022</v>
      </c>
      <c r="C47" s="17"/>
      <c r="D47" s="27"/>
      <c r="E47" s="23">
        <f t="shared" si="2"/>
        <v>0</v>
      </c>
    </row>
    <row r="48" spans="1:5" s="4" customFormat="1" ht="18" hidden="1" x14ac:dyDescent="0.15">
      <c r="A48" s="21"/>
      <c r="B48" s="19">
        <v>2023</v>
      </c>
      <c r="C48" s="17"/>
      <c r="D48" s="27"/>
      <c r="E48" s="23">
        <f t="shared" si="2"/>
        <v>0</v>
      </c>
    </row>
    <row r="49" spans="1:5" s="4" customFormat="1" ht="18" hidden="1" x14ac:dyDescent="0.15">
      <c r="A49" s="21" t="s">
        <v>23</v>
      </c>
      <c r="B49" s="19" t="s">
        <v>9</v>
      </c>
      <c r="C49" s="17"/>
      <c r="D49" s="27"/>
      <c r="E49" s="23">
        <f t="shared" si="2"/>
        <v>0</v>
      </c>
    </row>
    <row r="50" spans="1:5" s="4" customFormat="1" ht="18" hidden="1" x14ac:dyDescent="0.15">
      <c r="A50" s="21"/>
      <c r="B50" s="19">
        <v>2019</v>
      </c>
      <c r="C50" s="17"/>
      <c r="D50" s="27"/>
      <c r="E50" s="23">
        <f t="shared" si="2"/>
        <v>0</v>
      </c>
    </row>
    <row r="51" spans="1:5" s="4" customFormat="1" ht="18" hidden="1" x14ac:dyDescent="0.15">
      <c r="A51" s="21"/>
      <c r="B51" s="19">
        <v>2020</v>
      </c>
      <c r="C51" s="17"/>
      <c r="D51" s="27"/>
      <c r="E51" s="23">
        <f t="shared" si="2"/>
        <v>0</v>
      </c>
    </row>
    <row r="52" spans="1:5" s="4" customFormat="1" ht="18" hidden="1" x14ac:dyDescent="0.15">
      <c r="A52" s="21"/>
      <c r="B52" s="19">
        <v>2021</v>
      </c>
      <c r="C52" s="17"/>
      <c r="D52" s="27"/>
      <c r="E52" s="23">
        <f t="shared" si="2"/>
        <v>0</v>
      </c>
    </row>
    <row r="53" spans="1:5" s="4" customFormat="1" ht="18" hidden="1" x14ac:dyDescent="0.15">
      <c r="A53" s="21"/>
      <c r="B53" s="19">
        <v>2022</v>
      </c>
      <c r="C53" s="17"/>
      <c r="D53" s="27"/>
      <c r="E53" s="23">
        <f t="shared" si="2"/>
        <v>0</v>
      </c>
    </row>
    <row r="54" spans="1:5" s="4" customFormat="1" ht="18" hidden="1" x14ac:dyDescent="0.15">
      <c r="A54" s="21"/>
      <c r="B54" s="19">
        <v>2023</v>
      </c>
      <c r="C54" s="17"/>
      <c r="D54" s="27"/>
      <c r="E54" s="23">
        <f t="shared" si="2"/>
        <v>0</v>
      </c>
    </row>
    <row r="55" spans="1:5" s="5" customFormat="1" ht="18" x14ac:dyDescent="0.15">
      <c r="A55" s="39"/>
      <c r="B55" s="16" t="s">
        <v>31</v>
      </c>
      <c r="C55" s="13"/>
      <c r="D55" s="15"/>
      <c r="E55" s="38">
        <f>SUM(E56:E60)</f>
        <v>17000000</v>
      </c>
    </row>
    <row r="56" spans="1:5" s="4" customFormat="1" ht="18" x14ac:dyDescent="0.15">
      <c r="A56" s="21"/>
      <c r="B56" s="19">
        <v>2019</v>
      </c>
      <c r="C56" s="45">
        <v>7</v>
      </c>
      <c r="D56" s="46">
        <v>500000</v>
      </c>
      <c r="E56" s="23">
        <f t="shared" si="2"/>
        <v>3500000</v>
      </c>
    </row>
    <row r="57" spans="1:5" s="4" customFormat="1" ht="18" x14ac:dyDescent="0.15">
      <c r="A57" s="21"/>
      <c r="B57" s="19">
        <v>2020</v>
      </c>
      <c r="C57" s="45">
        <v>5</v>
      </c>
      <c r="D57" s="46">
        <v>500000</v>
      </c>
      <c r="E57" s="23">
        <f t="shared" si="2"/>
        <v>2500000</v>
      </c>
    </row>
    <row r="58" spans="1:5" s="4" customFormat="1" ht="18" x14ac:dyDescent="0.15">
      <c r="A58" s="21"/>
      <c r="B58" s="19">
        <v>2021</v>
      </c>
      <c r="C58" s="45">
        <v>5</v>
      </c>
      <c r="D58" s="46">
        <v>500000</v>
      </c>
      <c r="E58" s="23">
        <f t="shared" si="2"/>
        <v>2500000</v>
      </c>
    </row>
    <row r="59" spans="1:5" s="4" customFormat="1" ht="18" x14ac:dyDescent="0.15">
      <c r="A59" s="21"/>
      <c r="B59" s="19">
        <v>2022</v>
      </c>
      <c r="C59" s="45">
        <v>8</v>
      </c>
      <c r="D59" s="46">
        <v>500000</v>
      </c>
      <c r="E59" s="23">
        <f t="shared" si="2"/>
        <v>4000000</v>
      </c>
    </row>
    <row r="60" spans="1:5" s="4" customFormat="1" ht="18" x14ac:dyDescent="0.15">
      <c r="A60" s="21"/>
      <c r="B60" s="19">
        <v>2023</v>
      </c>
      <c r="C60" s="45">
        <v>9</v>
      </c>
      <c r="D60" s="46">
        <v>500000</v>
      </c>
      <c r="E60" s="23">
        <f t="shared" si="2"/>
        <v>4500000</v>
      </c>
    </row>
    <row r="61" spans="1:5" s="5" customFormat="1" ht="18" x14ac:dyDescent="0.15">
      <c r="A61" s="39"/>
      <c r="B61" s="16" t="s">
        <v>35</v>
      </c>
      <c r="C61" s="47"/>
      <c r="D61" s="48"/>
      <c r="E61" s="38">
        <f>SUM(E62:E66)</f>
        <v>71000000</v>
      </c>
    </row>
    <row r="62" spans="1:5" s="4" customFormat="1" ht="18" x14ac:dyDescent="0.15">
      <c r="A62" s="21"/>
      <c r="B62" s="19">
        <v>2019</v>
      </c>
      <c r="C62" s="17">
        <v>28</v>
      </c>
      <c r="D62" s="49">
        <v>500000</v>
      </c>
      <c r="E62" s="23">
        <f t="shared" si="2"/>
        <v>14000000</v>
      </c>
    </row>
    <row r="63" spans="1:5" s="4" customFormat="1" ht="18" x14ac:dyDescent="0.15">
      <c r="A63" s="21"/>
      <c r="B63" s="19">
        <v>2020</v>
      </c>
      <c r="C63" s="17">
        <v>30</v>
      </c>
      <c r="D63" s="49">
        <v>500000</v>
      </c>
      <c r="E63" s="23">
        <f t="shared" si="2"/>
        <v>15000000</v>
      </c>
    </row>
    <row r="64" spans="1:5" s="4" customFormat="1" ht="18" x14ac:dyDescent="0.15">
      <c r="A64" s="21"/>
      <c r="B64" s="19">
        <v>2021</v>
      </c>
      <c r="C64" s="17">
        <v>30</v>
      </c>
      <c r="D64" s="49">
        <v>500000</v>
      </c>
      <c r="E64" s="23">
        <f t="shared" si="2"/>
        <v>15000000</v>
      </c>
    </row>
    <row r="65" spans="1:5" s="4" customFormat="1" ht="18" x14ac:dyDescent="0.15">
      <c r="A65" s="21"/>
      <c r="B65" s="19">
        <v>2022</v>
      </c>
      <c r="C65" s="17">
        <v>28</v>
      </c>
      <c r="D65" s="49">
        <v>500000</v>
      </c>
      <c r="E65" s="23">
        <f t="shared" si="2"/>
        <v>14000000</v>
      </c>
    </row>
    <row r="66" spans="1:5" s="4" customFormat="1" ht="18" x14ac:dyDescent="0.15">
      <c r="A66" s="21"/>
      <c r="B66" s="19">
        <v>2023</v>
      </c>
      <c r="C66" s="17">
        <v>26</v>
      </c>
      <c r="D66" s="49">
        <v>500000</v>
      </c>
      <c r="E66" s="23">
        <f t="shared" si="2"/>
        <v>13000000</v>
      </c>
    </row>
    <row r="67" spans="1:5" s="5" customFormat="1" ht="18" x14ac:dyDescent="0.15">
      <c r="A67" s="39"/>
      <c r="B67" s="16" t="s">
        <v>34</v>
      </c>
      <c r="C67" s="13"/>
      <c r="D67" s="50"/>
      <c r="E67" s="38">
        <f>SUM(E68:E72)</f>
        <v>95000000</v>
      </c>
    </row>
    <row r="68" spans="1:5" s="4" customFormat="1" ht="18" x14ac:dyDescent="0.2">
      <c r="A68" s="21"/>
      <c r="B68" s="19">
        <v>2019</v>
      </c>
      <c r="C68" s="17">
        <v>40</v>
      </c>
      <c r="D68" s="51">
        <v>500000</v>
      </c>
      <c r="E68" s="23">
        <f t="shared" si="2"/>
        <v>20000000</v>
      </c>
    </row>
    <row r="69" spans="1:5" s="4" customFormat="1" ht="18" x14ac:dyDescent="0.2">
      <c r="A69" s="21"/>
      <c r="B69" s="19">
        <v>2020</v>
      </c>
      <c r="C69" s="17">
        <v>40</v>
      </c>
      <c r="D69" s="51">
        <v>500000</v>
      </c>
      <c r="E69" s="23">
        <f t="shared" si="2"/>
        <v>20000000</v>
      </c>
    </row>
    <row r="70" spans="1:5" s="4" customFormat="1" ht="18" x14ac:dyDescent="0.2">
      <c r="A70" s="21"/>
      <c r="B70" s="19">
        <v>2021</v>
      </c>
      <c r="C70" s="17">
        <v>30</v>
      </c>
      <c r="D70" s="51">
        <v>500000</v>
      </c>
      <c r="E70" s="23">
        <f t="shared" si="2"/>
        <v>15000000</v>
      </c>
    </row>
    <row r="71" spans="1:5" s="4" customFormat="1" ht="18" x14ac:dyDescent="0.2">
      <c r="A71" s="21"/>
      <c r="B71" s="19">
        <v>2022</v>
      </c>
      <c r="C71" s="17">
        <v>40</v>
      </c>
      <c r="D71" s="51">
        <v>500000</v>
      </c>
      <c r="E71" s="23">
        <f t="shared" si="2"/>
        <v>20000000</v>
      </c>
    </row>
    <row r="72" spans="1:5" s="4" customFormat="1" ht="18" x14ac:dyDescent="0.2">
      <c r="A72" s="21"/>
      <c r="B72" s="19">
        <v>2023</v>
      </c>
      <c r="C72" s="17">
        <v>40</v>
      </c>
      <c r="D72" s="51">
        <v>500000</v>
      </c>
      <c r="E72" s="23">
        <f t="shared" si="2"/>
        <v>20000000</v>
      </c>
    </row>
    <row r="73" spans="1:5" s="5" customFormat="1" ht="18" x14ac:dyDescent="0.15">
      <c r="A73" s="39"/>
      <c r="B73" s="16" t="s">
        <v>36</v>
      </c>
      <c r="C73" s="13"/>
      <c r="D73" s="52"/>
      <c r="E73" s="38">
        <f>SUM(E74:E78)</f>
        <v>168000000</v>
      </c>
    </row>
    <row r="74" spans="1:5" s="4" customFormat="1" ht="18" x14ac:dyDescent="0.15">
      <c r="A74" s="21"/>
      <c r="B74" s="19">
        <v>2019</v>
      </c>
      <c r="C74" s="21">
        <f>18+32</f>
        <v>50</v>
      </c>
      <c r="D74" s="46">
        <v>500000</v>
      </c>
      <c r="E74" s="23">
        <f t="shared" si="2"/>
        <v>25000000</v>
      </c>
    </row>
    <row r="75" spans="1:5" s="4" customFormat="1" ht="18" x14ac:dyDescent="0.15">
      <c r="A75" s="21"/>
      <c r="B75" s="19">
        <v>2020</v>
      </c>
      <c r="C75" s="21">
        <f>18+37</f>
        <v>55</v>
      </c>
      <c r="D75" s="46">
        <v>500000</v>
      </c>
      <c r="E75" s="23">
        <f t="shared" si="2"/>
        <v>27500000</v>
      </c>
    </row>
    <row r="76" spans="1:5" s="4" customFormat="1" ht="18" x14ac:dyDescent="0.15">
      <c r="A76" s="21"/>
      <c r="B76" s="19">
        <v>2021</v>
      </c>
      <c r="C76" s="17">
        <f>27+24</f>
        <v>51</v>
      </c>
      <c r="D76" s="46">
        <v>500000</v>
      </c>
      <c r="E76" s="23">
        <f t="shared" si="2"/>
        <v>25500000</v>
      </c>
    </row>
    <row r="77" spans="1:5" s="4" customFormat="1" ht="18" x14ac:dyDescent="0.15">
      <c r="A77" s="21"/>
      <c r="B77" s="19">
        <v>2022</v>
      </c>
      <c r="C77" s="17">
        <f>27+62</f>
        <v>89</v>
      </c>
      <c r="D77" s="46">
        <v>500000</v>
      </c>
      <c r="E77" s="23">
        <f t="shared" si="2"/>
        <v>44500000</v>
      </c>
    </row>
    <row r="78" spans="1:5" s="4" customFormat="1" ht="18" x14ac:dyDescent="0.15">
      <c r="A78" s="21"/>
      <c r="B78" s="19">
        <v>2023</v>
      </c>
      <c r="C78" s="17">
        <f>27+64</f>
        <v>91</v>
      </c>
      <c r="D78" s="46">
        <v>500000</v>
      </c>
      <c r="E78" s="23">
        <f t="shared" si="2"/>
        <v>45500000</v>
      </c>
    </row>
    <row r="79" spans="1:5" s="5" customFormat="1" ht="18" x14ac:dyDescent="0.15">
      <c r="A79" s="39"/>
      <c r="B79" s="16" t="s">
        <v>38</v>
      </c>
      <c r="C79" s="13"/>
      <c r="D79" s="53"/>
      <c r="E79" s="38">
        <f>SUM(E80:E84)</f>
        <v>300000000</v>
      </c>
    </row>
    <row r="80" spans="1:5" s="4" customFormat="1" ht="18" x14ac:dyDescent="0.15">
      <c r="A80" s="21"/>
      <c r="B80" s="19">
        <v>2019</v>
      </c>
      <c r="C80" s="17">
        <v>120</v>
      </c>
      <c r="D80" s="54">
        <v>500000</v>
      </c>
      <c r="E80" s="23">
        <f t="shared" si="2"/>
        <v>60000000</v>
      </c>
    </row>
    <row r="81" spans="1:5" s="4" customFormat="1" ht="18" x14ac:dyDescent="0.15">
      <c r="A81" s="21"/>
      <c r="B81" s="19">
        <v>2020</v>
      </c>
      <c r="C81" s="17">
        <v>120</v>
      </c>
      <c r="D81" s="54">
        <v>500000</v>
      </c>
      <c r="E81" s="23">
        <f t="shared" si="2"/>
        <v>60000000</v>
      </c>
    </row>
    <row r="82" spans="1:5" s="4" customFormat="1" ht="18" x14ac:dyDescent="0.15">
      <c r="A82" s="21"/>
      <c r="B82" s="19">
        <v>2021</v>
      </c>
      <c r="C82" s="17">
        <v>120</v>
      </c>
      <c r="D82" s="54">
        <v>500000</v>
      </c>
      <c r="E82" s="23">
        <f t="shared" si="2"/>
        <v>60000000</v>
      </c>
    </row>
    <row r="83" spans="1:5" s="4" customFormat="1" ht="18" x14ac:dyDescent="0.15">
      <c r="A83" s="21"/>
      <c r="B83" s="19">
        <v>2022</v>
      </c>
      <c r="C83" s="17">
        <v>120</v>
      </c>
      <c r="D83" s="54">
        <v>500000</v>
      </c>
      <c r="E83" s="23">
        <f t="shared" si="2"/>
        <v>60000000</v>
      </c>
    </row>
    <row r="84" spans="1:5" s="4" customFormat="1" ht="18" x14ac:dyDescent="0.15">
      <c r="A84" s="21"/>
      <c r="B84" s="19">
        <v>2023</v>
      </c>
      <c r="C84" s="17">
        <v>120</v>
      </c>
      <c r="D84" s="54">
        <v>500000</v>
      </c>
      <c r="E84" s="23">
        <f t="shared" si="2"/>
        <v>60000000</v>
      </c>
    </row>
    <row r="85" spans="1:5" s="5" customFormat="1" ht="18" x14ac:dyDescent="0.15">
      <c r="A85" s="39"/>
      <c r="B85" s="16" t="s">
        <v>37</v>
      </c>
      <c r="C85" s="13"/>
      <c r="D85" s="55"/>
      <c r="E85" s="38">
        <f>SUM(E86:E90)</f>
        <v>122000000</v>
      </c>
    </row>
    <row r="86" spans="1:5" s="4" customFormat="1" ht="18" x14ac:dyDescent="0.15">
      <c r="A86" s="21"/>
      <c r="B86" s="19">
        <v>2019</v>
      </c>
      <c r="C86" s="17">
        <v>44</v>
      </c>
      <c r="D86" s="46">
        <v>500000</v>
      </c>
      <c r="E86" s="23">
        <f t="shared" si="2"/>
        <v>22000000</v>
      </c>
    </row>
    <row r="87" spans="1:5" s="4" customFormat="1" ht="18" x14ac:dyDescent="0.15">
      <c r="A87" s="21"/>
      <c r="B87" s="19">
        <v>2020</v>
      </c>
      <c r="C87" s="17">
        <v>44</v>
      </c>
      <c r="D87" s="46">
        <v>500000</v>
      </c>
      <c r="E87" s="23">
        <f t="shared" si="2"/>
        <v>22000000</v>
      </c>
    </row>
    <row r="88" spans="1:5" s="4" customFormat="1" ht="18" x14ac:dyDescent="0.15">
      <c r="A88" s="21"/>
      <c r="B88" s="19">
        <v>2021</v>
      </c>
      <c r="C88" s="17">
        <v>52</v>
      </c>
      <c r="D88" s="46">
        <v>500000</v>
      </c>
      <c r="E88" s="23">
        <f t="shared" si="2"/>
        <v>26000000</v>
      </c>
    </row>
    <row r="89" spans="1:5" s="4" customFormat="1" ht="18" x14ac:dyDescent="0.15">
      <c r="A89" s="21"/>
      <c r="B89" s="19">
        <v>2022</v>
      </c>
      <c r="C89" s="17">
        <v>52</v>
      </c>
      <c r="D89" s="46">
        <v>500000</v>
      </c>
      <c r="E89" s="23">
        <f t="shared" si="2"/>
        <v>26000000</v>
      </c>
    </row>
    <row r="90" spans="1:5" s="4" customFormat="1" ht="18" x14ac:dyDescent="0.15">
      <c r="A90" s="21"/>
      <c r="B90" s="19">
        <v>2023</v>
      </c>
      <c r="C90" s="17">
        <f>3+3+13+10+5+15+3</f>
        <v>52</v>
      </c>
      <c r="D90" s="46">
        <v>500000</v>
      </c>
      <c r="E90" s="23">
        <f t="shared" si="2"/>
        <v>26000000</v>
      </c>
    </row>
    <row r="91" spans="1:5" s="4" customFormat="1" ht="18" x14ac:dyDescent="0.15">
      <c r="A91" s="21"/>
      <c r="B91" s="16" t="s">
        <v>33</v>
      </c>
      <c r="C91" s="17"/>
      <c r="D91" s="56"/>
      <c r="E91" s="38">
        <f>SUM(E92:E96)</f>
        <v>70000000</v>
      </c>
    </row>
    <row r="92" spans="1:5" s="4" customFormat="1" ht="18" x14ac:dyDescent="0.15">
      <c r="A92" s="21"/>
      <c r="B92" s="19">
        <v>2019</v>
      </c>
      <c r="C92" s="17">
        <v>35</v>
      </c>
      <c r="D92" s="46">
        <v>500000</v>
      </c>
      <c r="E92" s="23">
        <f t="shared" si="2"/>
        <v>17500000</v>
      </c>
    </row>
    <row r="93" spans="1:5" s="4" customFormat="1" ht="18" x14ac:dyDescent="0.15">
      <c r="A93" s="21"/>
      <c r="B93" s="19">
        <v>2020</v>
      </c>
      <c r="C93" s="17">
        <v>34</v>
      </c>
      <c r="D93" s="46">
        <v>500000</v>
      </c>
      <c r="E93" s="23">
        <f t="shared" si="2"/>
        <v>17000000</v>
      </c>
    </row>
    <row r="94" spans="1:5" s="4" customFormat="1" ht="18" x14ac:dyDescent="0.15">
      <c r="A94" s="21"/>
      <c r="B94" s="19">
        <v>2021</v>
      </c>
      <c r="C94" s="17">
        <v>26</v>
      </c>
      <c r="D94" s="46">
        <v>500000</v>
      </c>
      <c r="E94" s="23">
        <f t="shared" si="2"/>
        <v>13000000</v>
      </c>
    </row>
    <row r="95" spans="1:5" s="4" customFormat="1" ht="18" x14ac:dyDescent="0.15">
      <c r="A95" s="21"/>
      <c r="B95" s="19">
        <v>2022</v>
      </c>
      <c r="C95" s="17">
        <v>17</v>
      </c>
      <c r="D95" s="46">
        <v>500000</v>
      </c>
      <c r="E95" s="23">
        <f t="shared" si="2"/>
        <v>8500000</v>
      </c>
    </row>
    <row r="96" spans="1:5" s="4" customFormat="1" ht="18" x14ac:dyDescent="0.15">
      <c r="A96" s="21"/>
      <c r="B96" s="19">
        <v>2023</v>
      </c>
      <c r="C96" s="17">
        <v>28</v>
      </c>
      <c r="D96" s="46">
        <v>500000</v>
      </c>
      <c r="E96" s="23">
        <f t="shared" si="2"/>
        <v>14000000</v>
      </c>
    </row>
    <row r="97" spans="1:5" s="4" customFormat="1" ht="18" x14ac:dyDescent="0.15">
      <c r="A97" s="21"/>
      <c r="B97" s="16" t="s">
        <v>32</v>
      </c>
      <c r="C97" s="17"/>
      <c r="D97" s="56"/>
      <c r="E97" s="38">
        <f>SUM(E98:E102)</f>
        <v>128000000</v>
      </c>
    </row>
    <row r="98" spans="1:5" s="4" customFormat="1" ht="18" hidden="1" x14ac:dyDescent="0.15">
      <c r="A98" s="21"/>
      <c r="B98" s="19">
        <v>2019</v>
      </c>
      <c r="C98" s="17"/>
      <c r="D98" s="56"/>
      <c r="E98" s="23">
        <f t="shared" si="2"/>
        <v>0</v>
      </c>
    </row>
    <row r="99" spans="1:5" s="4" customFormat="1" ht="18" hidden="1" x14ac:dyDescent="0.15">
      <c r="A99" s="21"/>
      <c r="B99" s="19">
        <v>2020</v>
      </c>
      <c r="C99" s="17"/>
      <c r="D99" s="56"/>
      <c r="E99" s="23">
        <f t="shared" si="2"/>
        <v>0</v>
      </c>
    </row>
    <row r="100" spans="1:5" s="4" customFormat="1" ht="18" hidden="1" x14ac:dyDescent="0.15">
      <c r="A100" s="21"/>
      <c r="B100" s="19">
        <v>2021</v>
      </c>
      <c r="C100" s="17"/>
      <c r="D100" s="56"/>
      <c r="E100" s="23">
        <f t="shared" si="2"/>
        <v>0</v>
      </c>
    </row>
    <row r="101" spans="1:5" s="4" customFormat="1" ht="18" x14ac:dyDescent="0.15">
      <c r="A101" s="21"/>
      <c r="B101" s="19">
        <v>2022</v>
      </c>
      <c r="C101" s="57">
        <v>128</v>
      </c>
      <c r="D101" s="58">
        <v>500000</v>
      </c>
      <c r="E101" s="23">
        <f t="shared" ref="E101:E114" si="3">C101*D101</f>
        <v>64000000</v>
      </c>
    </row>
    <row r="102" spans="1:5" s="4" customFormat="1" ht="18" x14ac:dyDescent="0.15">
      <c r="A102" s="21"/>
      <c r="B102" s="19">
        <v>2023</v>
      </c>
      <c r="C102" s="57">
        <v>128</v>
      </c>
      <c r="D102" s="58">
        <v>500000</v>
      </c>
      <c r="E102" s="23">
        <f t="shared" si="3"/>
        <v>64000000</v>
      </c>
    </row>
    <row r="103" spans="1:5" s="4" customFormat="1" ht="18" x14ac:dyDescent="0.15">
      <c r="A103" s="21"/>
      <c r="B103" s="16" t="s">
        <v>41</v>
      </c>
      <c r="C103" s="57"/>
      <c r="D103" s="58"/>
      <c r="E103" s="38">
        <f>SUM(E104:E108)</f>
        <v>23500000</v>
      </c>
    </row>
    <row r="104" spans="1:5" s="4" customFormat="1" ht="18" x14ac:dyDescent="0.15">
      <c r="A104" s="21"/>
      <c r="B104" s="19">
        <v>2019</v>
      </c>
      <c r="C104" s="17">
        <v>10</v>
      </c>
      <c r="D104" s="24">
        <v>500000</v>
      </c>
      <c r="E104" s="23">
        <f t="shared" si="3"/>
        <v>5000000</v>
      </c>
    </row>
    <row r="105" spans="1:5" s="4" customFormat="1" ht="18" x14ac:dyDescent="0.15">
      <c r="A105" s="21"/>
      <c r="B105" s="19">
        <v>2020</v>
      </c>
      <c r="C105" s="17">
        <v>10</v>
      </c>
      <c r="D105" s="24">
        <v>500000</v>
      </c>
      <c r="E105" s="23">
        <f t="shared" si="3"/>
        <v>5000000</v>
      </c>
    </row>
    <row r="106" spans="1:5" s="4" customFormat="1" ht="18" x14ac:dyDescent="0.15">
      <c r="A106" s="21"/>
      <c r="B106" s="19">
        <v>2021</v>
      </c>
      <c r="C106" s="17">
        <v>9</v>
      </c>
      <c r="D106" s="24">
        <v>500000</v>
      </c>
      <c r="E106" s="23">
        <f t="shared" si="3"/>
        <v>4500000</v>
      </c>
    </row>
    <row r="107" spans="1:5" s="4" customFormat="1" ht="18" x14ac:dyDescent="0.15">
      <c r="A107" s="21"/>
      <c r="B107" s="19">
        <v>2022</v>
      </c>
      <c r="C107" s="17">
        <v>9</v>
      </c>
      <c r="D107" s="24">
        <v>500000</v>
      </c>
      <c r="E107" s="23">
        <f t="shared" si="3"/>
        <v>4500000</v>
      </c>
    </row>
    <row r="108" spans="1:5" s="4" customFormat="1" ht="18" x14ac:dyDescent="0.15">
      <c r="A108" s="21"/>
      <c r="B108" s="19">
        <v>2023</v>
      </c>
      <c r="C108" s="17">
        <v>9</v>
      </c>
      <c r="D108" s="24">
        <v>500000</v>
      </c>
      <c r="E108" s="23">
        <f t="shared" si="3"/>
        <v>4500000</v>
      </c>
    </row>
    <row r="109" spans="1:5" s="4" customFormat="1" ht="18" x14ac:dyDescent="0.15">
      <c r="A109" s="21"/>
      <c r="B109" s="16" t="s">
        <v>39</v>
      </c>
      <c r="C109" s="57"/>
      <c r="D109" s="58"/>
      <c r="E109" s="38">
        <f>SUM(E110:E114)</f>
        <v>215500000</v>
      </c>
    </row>
    <row r="110" spans="1:5" s="4" customFormat="1" ht="18" x14ac:dyDescent="0.15">
      <c r="A110" s="21"/>
      <c r="B110" s="19">
        <v>2019</v>
      </c>
      <c r="C110" s="57">
        <f>76+11</f>
        <v>87</v>
      </c>
      <c r="D110" s="58">
        <v>500000</v>
      </c>
      <c r="E110" s="23">
        <f t="shared" si="3"/>
        <v>43500000</v>
      </c>
    </row>
    <row r="111" spans="1:5" s="4" customFormat="1" ht="18" x14ac:dyDescent="0.15">
      <c r="A111" s="21"/>
      <c r="B111" s="19">
        <v>2020</v>
      </c>
      <c r="C111" s="57">
        <f>77+11</f>
        <v>88</v>
      </c>
      <c r="D111" s="58">
        <v>500000</v>
      </c>
      <c r="E111" s="23">
        <f t="shared" si="3"/>
        <v>44000000</v>
      </c>
    </row>
    <row r="112" spans="1:5" s="4" customFormat="1" ht="18" x14ac:dyDescent="0.15">
      <c r="A112" s="21"/>
      <c r="B112" s="19">
        <v>2021</v>
      </c>
      <c r="C112" s="57">
        <f>75+11</f>
        <v>86</v>
      </c>
      <c r="D112" s="58">
        <v>500000</v>
      </c>
      <c r="E112" s="23">
        <f t="shared" si="3"/>
        <v>43000000</v>
      </c>
    </row>
    <row r="113" spans="1:5" s="4" customFormat="1" ht="18" x14ac:dyDescent="0.15">
      <c r="A113" s="21"/>
      <c r="B113" s="19">
        <v>2022</v>
      </c>
      <c r="C113" s="57">
        <f>74+11</f>
        <v>85</v>
      </c>
      <c r="D113" s="58">
        <v>500000</v>
      </c>
      <c r="E113" s="23">
        <f t="shared" si="3"/>
        <v>42500000</v>
      </c>
    </row>
    <row r="114" spans="1:5" s="4" customFormat="1" ht="18" x14ac:dyDescent="0.15">
      <c r="A114" s="21"/>
      <c r="B114" s="19">
        <v>2023</v>
      </c>
      <c r="C114" s="57">
        <f>74+11</f>
        <v>85</v>
      </c>
      <c r="D114" s="58">
        <v>500000</v>
      </c>
      <c r="E114" s="23">
        <f t="shared" si="3"/>
        <v>42500000</v>
      </c>
    </row>
    <row r="115" spans="1:5" s="5" customFormat="1" ht="111.75" x14ac:dyDescent="0.15">
      <c r="A115" s="13" t="s">
        <v>5</v>
      </c>
      <c r="B115" s="28" t="s">
        <v>24</v>
      </c>
      <c r="C115" s="13"/>
      <c r="D115" s="16"/>
      <c r="E115" s="38">
        <f>E116+E182</f>
        <v>561700000</v>
      </c>
    </row>
    <row r="116" spans="1:5" s="4" customFormat="1" ht="18" x14ac:dyDescent="0.15">
      <c r="A116" s="17">
        <v>1</v>
      </c>
      <c r="B116" s="19" t="s">
        <v>7</v>
      </c>
      <c r="C116" s="17"/>
      <c r="D116" s="19"/>
      <c r="E116" s="23">
        <f>E117+E128+E134+E140+E146+E152+E158+E164+E170+E176</f>
        <v>534200000</v>
      </c>
    </row>
    <row r="117" spans="1:5" s="5" customFormat="1" ht="18" x14ac:dyDescent="0.15">
      <c r="A117" s="39" t="s">
        <v>23</v>
      </c>
      <c r="B117" s="16" t="s">
        <v>8</v>
      </c>
      <c r="C117" s="15"/>
      <c r="D117" s="15"/>
      <c r="E117" s="38">
        <f>SUM(E118:E127)</f>
        <v>360500000</v>
      </c>
    </row>
    <row r="118" spans="1:5" s="4" customFormat="1" ht="18" x14ac:dyDescent="0.15">
      <c r="A118" s="21"/>
      <c r="B118" s="135">
        <v>2019</v>
      </c>
      <c r="C118" s="24">
        <f>4+4+8+19+9+15+8+14-22</f>
        <v>59</v>
      </c>
      <c r="D118" s="29">
        <v>1500000</v>
      </c>
      <c r="E118" s="23">
        <f t="shared" ref="E118:E123" si="4">C118*D118</f>
        <v>88500000</v>
      </c>
    </row>
    <row r="119" spans="1:5" s="4" customFormat="1" ht="18" x14ac:dyDescent="0.15">
      <c r="A119" s="21"/>
      <c r="B119" s="135"/>
      <c r="C119" s="24">
        <v>5</v>
      </c>
      <c r="D119" s="29">
        <v>1000000</v>
      </c>
      <c r="E119" s="23">
        <f t="shared" si="4"/>
        <v>5000000</v>
      </c>
    </row>
    <row r="120" spans="1:5" s="4" customFormat="1" ht="18" x14ac:dyDescent="0.15">
      <c r="A120" s="21"/>
      <c r="B120" s="135">
        <v>2020</v>
      </c>
      <c r="C120" s="24">
        <f>49+15+12-3</f>
        <v>73</v>
      </c>
      <c r="D120" s="29">
        <v>1500000</v>
      </c>
      <c r="E120" s="23">
        <f t="shared" si="4"/>
        <v>109500000</v>
      </c>
    </row>
    <row r="121" spans="1:5" s="4" customFormat="1" ht="18" x14ac:dyDescent="0.15">
      <c r="A121" s="21"/>
      <c r="B121" s="135"/>
      <c r="C121" s="24">
        <v>2</v>
      </c>
      <c r="D121" s="29">
        <v>1000000</v>
      </c>
      <c r="E121" s="23">
        <f t="shared" si="4"/>
        <v>2000000</v>
      </c>
    </row>
    <row r="122" spans="1:5" s="4" customFormat="1" ht="18" x14ac:dyDescent="0.15">
      <c r="A122" s="21"/>
      <c r="B122" s="135">
        <v>2021</v>
      </c>
      <c r="C122" s="24">
        <f>51+8</f>
        <v>59</v>
      </c>
      <c r="D122" s="29">
        <v>1500000</v>
      </c>
      <c r="E122" s="23">
        <f t="shared" si="4"/>
        <v>88500000</v>
      </c>
    </row>
    <row r="123" spans="1:5" s="4" customFormat="1" ht="18" x14ac:dyDescent="0.15">
      <c r="A123" s="21"/>
      <c r="B123" s="135"/>
      <c r="C123" s="24">
        <v>8</v>
      </c>
      <c r="D123" s="29">
        <v>1000000</v>
      </c>
      <c r="E123" s="23">
        <f t="shared" si="4"/>
        <v>8000000</v>
      </c>
    </row>
    <row r="124" spans="1:5" s="4" customFormat="1" ht="18" x14ac:dyDescent="0.15">
      <c r="A124" s="21"/>
      <c r="B124" s="135">
        <v>2022</v>
      </c>
      <c r="C124" s="24">
        <f>4+5+13+5+9+3-9</f>
        <v>30</v>
      </c>
      <c r="D124" s="29">
        <v>1500000</v>
      </c>
      <c r="E124" s="23">
        <f t="shared" ref="E124:E125" si="5">C124*D124</f>
        <v>45000000</v>
      </c>
    </row>
    <row r="125" spans="1:5" s="4" customFormat="1" ht="18" x14ac:dyDescent="0.15">
      <c r="A125" s="21"/>
      <c r="B125" s="135"/>
      <c r="C125" s="24">
        <v>1</v>
      </c>
      <c r="D125" s="29">
        <v>1000000</v>
      </c>
      <c r="E125" s="23">
        <f t="shared" si="5"/>
        <v>1000000</v>
      </c>
    </row>
    <row r="126" spans="1:5" s="4" customFormat="1" ht="18" x14ac:dyDescent="0.15">
      <c r="A126" s="21"/>
      <c r="B126" s="135">
        <v>2023</v>
      </c>
      <c r="C126" s="24">
        <v>6</v>
      </c>
      <c r="D126" s="29">
        <v>1500000</v>
      </c>
      <c r="E126" s="23">
        <f>C126*D126</f>
        <v>9000000</v>
      </c>
    </row>
    <row r="127" spans="1:5" s="4" customFormat="1" ht="18" x14ac:dyDescent="0.15">
      <c r="A127" s="21"/>
      <c r="B127" s="135"/>
      <c r="C127" s="24">
        <v>4</v>
      </c>
      <c r="D127" s="29">
        <v>1000000</v>
      </c>
      <c r="E127" s="23">
        <f>C127*D127</f>
        <v>4000000</v>
      </c>
    </row>
    <row r="128" spans="1:5" s="5" customFormat="1" ht="18" x14ac:dyDescent="0.15">
      <c r="A128" s="39"/>
      <c r="B128" s="16" t="s">
        <v>30</v>
      </c>
      <c r="C128" s="15"/>
      <c r="D128" s="15"/>
      <c r="E128" s="38">
        <f>SUM(E129:E133)</f>
        <v>68000000</v>
      </c>
    </row>
    <row r="129" spans="1:5" s="4" customFormat="1" ht="18" x14ac:dyDescent="0.15">
      <c r="A129" s="21"/>
      <c r="B129" s="19">
        <v>2019</v>
      </c>
      <c r="C129" s="25">
        <v>20</v>
      </c>
      <c r="D129" s="44">
        <v>800000</v>
      </c>
      <c r="E129" s="23">
        <f t="shared" ref="E129:E139" si="6">C129*D129</f>
        <v>16000000</v>
      </c>
    </row>
    <row r="130" spans="1:5" s="4" customFormat="1" ht="18" x14ac:dyDescent="0.15">
      <c r="A130" s="21"/>
      <c r="B130" s="19">
        <v>2020</v>
      </c>
      <c r="C130" s="25">
        <v>15</v>
      </c>
      <c r="D130" s="44">
        <v>800000</v>
      </c>
      <c r="E130" s="23">
        <f t="shared" si="6"/>
        <v>12000000</v>
      </c>
    </row>
    <row r="131" spans="1:5" s="4" customFormat="1" ht="18" x14ac:dyDescent="0.15">
      <c r="A131" s="21"/>
      <c r="B131" s="19">
        <v>2021</v>
      </c>
      <c r="C131" s="25">
        <v>16</v>
      </c>
      <c r="D131" s="44">
        <v>800000</v>
      </c>
      <c r="E131" s="23">
        <f t="shared" si="6"/>
        <v>12800000</v>
      </c>
    </row>
    <row r="132" spans="1:5" s="4" customFormat="1" ht="18" x14ac:dyDescent="0.15">
      <c r="A132" s="21"/>
      <c r="B132" s="19">
        <v>2022</v>
      </c>
      <c r="C132" s="25">
        <v>23</v>
      </c>
      <c r="D132" s="44">
        <v>800000</v>
      </c>
      <c r="E132" s="23">
        <f t="shared" si="6"/>
        <v>18400000</v>
      </c>
    </row>
    <row r="133" spans="1:5" s="4" customFormat="1" ht="18" x14ac:dyDescent="0.15">
      <c r="A133" s="21"/>
      <c r="B133" s="19">
        <v>2023</v>
      </c>
      <c r="C133" s="25">
        <v>11</v>
      </c>
      <c r="D133" s="44">
        <v>800000</v>
      </c>
      <c r="E133" s="23">
        <f t="shared" si="6"/>
        <v>8800000</v>
      </c>
    </row>
    <row r="134" spans="1:5" s="5" customFormat="1" ht="18" x14ac:dyDescent="0.15">
      <c r="A134" s="39"/>
      <c r="B134" s="16" t="s">
        <v>35</v>
      </c>
      <c r="C134" s="40"/>
      <c r="D134" s="41"/>
      <c r="E134" s="38">
        <f>SUM(E135:E139)</f>
        <v>1500000</v>
      </c>
    </row>
    <row r="135" spans="1:5" s="4" customFormat="1" ht="18" hidden="1" x14ac:dyDescent="0.15">
      <c r="A135" s="21"/>
      <c r="B135" s="19">
        <v>2019</v>
      </c>
      <c r="C135" s="25"/>
      <c r="D135" s="26"/>
      <c r="E135" s="23">
        <f t="shared" si="6"/>
        <v>0</v>
      </c>
    </row>
    <row r="136" spans="1:5" s="4" customFormat="1" ht="18" hidden="1" x14ac:dyDescent="0.15">
      <c r="A136" s="21"/>
      <c r="B136" s="19">
        <v>2020</v>
      </c>
      <c r="C136" s="25"/>
      <c r="D136" s="26"/>
      <c r="E136" s="23">
        <f t="shared" si="6"/>
        <v>0</v>
      </c>
    </row>
    <row r="137" spans="1:5" s="4" customFormat="1" ht="18" hidden="1" x14ac:dyDescent="0.15">
      <c r="A137" s="21"/>
      <c r="B137" s="19">
        <v>2021</v>
      </c>
      <c r="C137" s="25"/>
      <c r="D137" s="26"/>
      <c r="E137" s="23">
        <f t="shared" si="6"/>
        <v>0</v>
      </c>
    </row>
    <row r="138" spans="1:5" s="4" customFormat="1" ht="18" x14ac:dyDescent="0.15">
      <c r="A138" s="21"/>
      <c r="B138" s="19">
        <v>2022</v>
      </c>
      <c r="C138" s="24">
        <v>1</v>
      </c>
      <c r="D138" s="59">
        <v>500000</v>
      </c>
      <c r="E138" s="23">
        <f t="shared" si="6"/>
        <v>500000</v>
      </c>
    </row>
    <row r="139" spans="1:5" s="4" customFormat="1" ht="18" x14ac:dyDescent="0.15">
      <c r="A139" s="21"/>
      <c r="B139" s="19">
        <v>2023</v>
      </c>
      <c r="C139" s="24">
        <v>2</v>
      </c>
      <c r="D139" s="59">
        <v>500000</v>
      </c>
      <c r="E139" s="23">
        <f t="shared" si="6"/>
        <v>1000000</v>
      </c>
    </row>
    <row r="140" spans="1:5" s="5" customFormat="1" ht="18" x14ac:dyDescent="0.15">
      <c r="A140" s="39"/>
      <c r="B140" s="16" t="s">
        <v>34</v>
      </c>
      <c r="C140" s="42"/>
      <c r="D140" s="60"/>
      <c r="E140" s="38">
        <f>SUM(E141:E145)</f>
        <v>18500000</v>
      </c>
    </row>
    <row r="141" spans="1:5" s="4" customFormat="1" ht="18" x14ac:dyDescent="0.15">
      <c r="A141" s="21"/>
      <c r="B141" s="19">
        <v>2019</v>
      </c>
      <c r="C141" s="24">
        <v>3</v>
      </c>
      <c r="D141" s="59">
        <v>500000</v>
      </c>
      <c r="E141" s="23">
        <f>C141*D141</f>
        <v>1500000</v>
      </c>
    </row>
    <row r="142" spans="1:5" s="4" customFormat="1" ht="18" x14ac:dyDescent="0.15">
      <c r="A142" s="21"/>
      <c r="B142" s="19">
        <v>2020</v>
      </c>
      <c r="C142" s="24">
        <v>7</v>
      </c>
      <c r="D142" s="59">
        <v>500000</v>
      </c>
      <c r="E142" s="23">
        <f t="shared" ref="E142:E181" si="7">C142*D142</f>
        <v>3500000</v>
      </c>
    </row>
    <row r="143" spans="1:5" s="4" customFormat="1" ht="18" x14ac:dyDescent="0.15">
      <c r="A143" s="21"/>
      <c r="B143" s="19">
        <v>2021</v>
      </c>
      <c r="C143" s="24">
        <v>5</v>
      </c>
      <c r="D143" s="59">
        <v>500000</v>
      </c>
      <c r="E143" s="23">
        <f t="shared" si="7"/>
        <v>2500000</v>
      </c>
    </row>
    <row r="144" spans="1:5" s="4" customFormat="1" ht="18" x14ac:dyDescent="0.15">
      <c r="A144" s="21"/>
      <c r="B144" s="19">
        <v>2022</v>
      </c>
      <c r="C144" s="24">
        <v>12</v>
      </c>
      <c r="D144" s="59">
        <v>500000</v>
      </c>
      <c r="E144" s="23">
        <f t="shared" si="7"/>
        <v>6000000</v>
      </c>
    </row>
    <row r="145" spans="1:5" s="4" customFormat="1" ht="18" x14ac:dyDescent="0.15">
      <c r="A145" s="21"/>
      <c r="B145" s="19">
        <v>2023</v>
      </c>
      <c r="C145" s="24">
        <v>10</v>
      </c>
      <c r="D145" s="59">
        <v>500000</v>
      </c>
      <c r="E145" s="23">
        <f t="shared" si="7"/>
        <v>5000000</v>
      </c>
    </row>
    <row r="146" spans="1:5" s="5" customFormat="1" ht="18" x14ac:dyDescent="0.15">
      <c r="A146" s="39"/>
      <c r="B146" s="16" t="s">
        <v>36</v>
      </c>
      <c r="C146" s="42"/>
      <c r="D146" s="50"/>
      <c r="E146" s="38">
        <f>SUM(E147:E151)</f>
        <v>29500000</v>
      </c>
    </row>
    <row r="147" spans="1:5" s="4" customFormat="1" ht="18" x14ac:dyDescent="0.15">
      <c r="A147" s="21"/>
      <c r="B147" s="19">
        <v>2019</v>
      </c>
      <c r="C147" s="24">
        <v>14</v>
      </c>
      <c r="D147" s="62">
        <v>500000</v>
      </c>
      <c r="E147" s="23">
        <f t="shared" si="7"/>
        <v>7000000</v>
      </c>
    </row>
    <row r="148" spans="1:5" s="4" customFormat="1" ht="18" x14ac:dyDescent="0.15">
      <c r="A148" s="21"/>
      <c r="B148" s="19">
        <v>2020</v>
      </c>
      <c r="C148" s="24">
        <v>8</v>
      </c>
      <c r="D148" s="62">
        <v>500000</v>
      </c>
      <c r="E148" s="23">
        <f t="shared" si="7"/>
        <v>4000000</v>
      </c>
    </row>
    <row r="149" spans="1:5" s="4" customFormat="1" ht="18" x14ac:dyDescent="0.15">
      <c r="A149" s="21"/>
      <c r="B149" s="19">
        <v>2021</v>
      </c>
      <c r="C149" s="24">
        <v>11</v>
      </c>
      <c r="D149" s="62">
        <v>500000</v>
      </c>
      <c r="E149" s="23">
        <f t="shared" si="7"/>
        <v>5500000</v>
      </c>
    </row>
    <row r="150" spans="1:5" s="4" customFormat="1" ht="18" x14ac:dyDescent="0.15">
      <c r="A150" s="21"/>
      <c r="B150" s="19">
        <v>2022</v>
      </c>
      <c r="C150" s="24">
        <v>9</v>
      </c>
      <c r="D150" s="62">
        <v>500000</v>
      </c>
      <c r="E150" s="23">
        <f t="shared" si="7"/>
        <v>4500000</v>
      </c>
    </row>
    <row r="151" spans="1:5" s="4" customFormat="1" ht="18" x14ac:dyDescent="0.15">
      <c r="A151" s="21"/>
      <c r="B151" s="19">
        <v>2023</v>
      </c>
      <c r="C151" s="24">
        <v>17</v>
      </c>
      <c r="D151" s="62">
        <v>500000</v>
      </c>
      <c r="E151" s="23">
        <f t="shared" si="7"/>
        <v>8500000</v>
      </c>
    </row>
    <row r="152" spans="1:5" s="5" customFormat="1" ht="18" x14ac:dyDescent="0.15">
      <c r="A152" s="39"/>
      <c r="B152" s="16" t="s">
        <v>37</v>
      </c>
      <c r="C152" s="63"/>
      <c r="D152" s="64"/>
      <c r="E152" s="38">
        <f>SUM(E153:E157)</f>
        <v>28000000</v>
      </c>
    </row>
    <row r="153" spans="1:5" s="4" customFormat="1" ht="18" x14ac:dyDescent="0.15">
      <c r="A153" s="21"/>
      <c r="B153" s="19">
        <v>2019</v>
      </c>
      <c r="C153" s="24">
        <v>10</v>
      </c>
      <c r="D153" s="56">
        <v>800000</v>
      </c>
      <c r="E153" s="23">
        <f t="shared" si="7"/>
        <v>8000000</v>
      </c>
    </row>
    <row r="154" spans="1:5" s="4" customFormat="1" ht="18" x14ac:dyDescent="0.15">
      <c r="A154" s="21"/>
      <c r="B154" s="19">
        <v>2020</v>
      </c>
      <c r="C154" s="24">
        <v>10</v>
      </c>
      <c r="D154" s="56">
        <v>800000</v>
      </c>
      <c r="E154" s="23">
        <f t="shared" si="7"/>
        <v>8000000</v>
      </c>
    </row>
    <row r="155" spans="1:5" s="4" customFormat="1" ht="18" x14ac:dyDescent="0.15">
      <c r="A155" s="21"/>
      <c r="B155" s="19">
        <v>2021</v>
      </c>
      <c r="C155" s="24">
        <v>5</v>
      </c>
      <c r="D155" s="56">
        <v>800000</v>
      </c>
      <c r="E155" s="23">
        <f t="shared" si="7"/>
        <v>4000000</v>
      </c>
    </row>
    <row r="156" spans="1:5" s="4" customFormat="1" ht="18" x14ac:dyDescent="0.15">
      <c r="A156" s="21"/>
      <c r="B156" s="19">
        <v>2022</v>
      </c>
      <c r="C156" s="24">
        <v>5</v>
      </c>
      <c r="D156" s="56">
        <v>800000</v>
      </c>
      <c r="E156" s="23">
        <f t="shared" si="7"/>
        <v>4000000</v>
      </c>
    </row>
    <row r="157" spans="1:5" s="4" customFormat="1" ht="18" x14ac:dyDescent="0.15">
      <c r="A157" s="21"/>
      <c r="B157" s="19">
        <v>2023</v>
      </c>
      <c r="C157" s="24">
        <v>5</v>
      </c>
      <c r="D157" s="56">
        <v>800000</v>
      </c>
      <c r="E157" s="23">
        <f t="shared" si="7"/>
        <v>4000000</v>
      </c>
    </row>
    <row r="158" spans="1:5" s="4" customFormat="1" ht="18" x14ac:dyDescent="0.15">
      <c r="A158" s="21"/>
      <c r="B158" s="16" t="s">
        <v>33</v>
      </c>
      <c r="C158" s="24"/>
      <c r="D158" s="56"/>
      <c r="E158" s="38">
        <f>SUM(E159:E163)</f>
        <v>10400000</v>
      </c>
    </row>
    <row r="159" spans="1:5" s="4" customFormat="1" ht="18" hidden="1" x14ac:dyDescent="0.15">
      <c r="A159" s="21"/>
      <c r="B159" s="19">
        <v>2019</v>
      </c>
      <c r="C159" s="24"/>
      <c r="D159" s="56"/>
      <c r="E159" s="23">
        <f t="shared" si="7"/>
        <v>0</v>
      </c>
    </row>
    <row r="160" spans="1:5" s="4" customFormat="1" ht="18" hidden="1" x14ac:dyDescent="0.15">
      <c r="A160" s="21"/>
      <c r="B160" s="19">
        <v>2020</v>
      </c>
      <c r="C160" s="61"/>
      <c r="D160" s="62"/>
      <c r="E160" s="23">
        <f t="shared" si="7"/>
        <v>0</v>
      </c>
    </row>
    <row r="161" spans="1:5" s="4" customFormat="1" ht="18" x14ac:dyDescent="0.15">
      <c r="A161" s="21"/>
      <c r="B161" s="19">
        <v>2021</v>
      </c>
      <c r="C161" s="24">
        <v>5</v>
      </c>
      <c r="D161" s="56">
        <v>800000</v>
      </c>
      <c r="E161" s="23">
        <f t="shared" si="7"/>
        <v>4000000</v>
      </c>
    </row>
    <row r="162" spans="1:5" s="4" customFormat="1" ht="18" x14ac:dyDescent="0.15">
      <c r="A162" s="21"/>
      <c r="B162" s="19">
        <v>2022</v>
      </c>
      <c r="C162" s="24">
        <v>6</v>
      </c>
      <c r="D162" s="56">
        <v>800000</v>
      </c>
      <c r="E162" s="23">
        <f t="shared" si="7"/>
        <v>4800000</v>
      </c>
    </row>
    <row r="163" spans="1:5" s="4" customFormat="1" ht="18" x14ac:dyDescent="0.15">
      <c r="A163" s="21"/>
      <c r="B163" s="19">
        <v>2023</v>
      </c>
      <c r="C163" s="24">
        <v>2</v>
      </c>
      <c r="D163" s="56">
        <v>800000</v>
      </c>
      <c r="E163" s="23">
        <f t="shared" si="7"/>
        <v>1600000</v>
      </c>
    </row>
    <row r="164" spans="1:5" s="4" customFormat="1" ht="18" x14ac:dyDescent="0.15">
      <c r="A164" s="21"/>
      <c r="B164" s="16" t="s">
        <v>32</v>
      </c>
      <c r="C164" s="27"/>
      <c r="D164" s="56"/>
      <c r="E164" s="38">
        <f>SUM(E165:E169)</f>
        <v>11000000</v>
      </c>
    </row>
    <row r="165" spans="1:5" s="4" customFormat="1" ht="18" hidden="1" x14ac:dyDescent="0.15">
      <c r="A165" s="21"/>
      <c r="B165" s="19">
        <v>2019</v>
      </c>
      <c r="C165" s="27"/>
      <c r="D165" s="56"/>
      <c r="E165" s="23">
        <f t="shared" si="7"/>
        <v>0</v>
      </c>
    </row>
    <row r="166" spans="1:5" s="4" customFormat="1" ht="18" hidden="1" x14ac:dyDescent="0.15">
      <c r="A166" s="21"/>
      <c r="B166" s="19">
        <v>2020</v>
      </c>
      <c r="C166" s="27"/>
      <c r="D166" s="56"/>
      <c r="E166" s="23">
        <f t="shared" si="7"/>
        <v>0</v>
      </c>
    </row>
    <row r="167" spans="1:5" s="4" customFormat="1" ht="18" hidden="1" x14ac:dyDescent="0.15">
      <c r="A167" s="21"/>
      <c r="B167" s="19">
        <v>2021</v>
      </c>
      <c r="C167" s="27"/>
      <c r="D167" s="56"/>
      <c r="E167" s="23">
        <f t="shared" si="7"/>
        <v>0</v>
      </c>
    </row>
    <row r="168" spans="1:5" s="4" customFormat="1" ht="18" x14ac:dyDescent="0.15">
      <c r="A168" s="21"/>
      <c r="B168" s="19">
        <v>2022</v>
      </c>
      <c r="C168" s="65">
        <v>6</v>
      </c>
      <c r="D168" s="65">
        <v>500000</v>
      </c>
      <c r="E168" s="23">
        <f t="shared" si="7"/>
        <v>3000000</v>
      </c>
    </row>
    <row r="169" spans="1:5" s="4" customFormat="1" ht="18" x14ac:dyDescent="0.15">
      <c r="A169" s="21"/>
      <c r="B169" s="19">
        <v>2023</v>
      </c>
      <c r="C169" s="65">
        <v>10</v>
      </c>
      <c r="D169" s="65">
        <v>800000</v>
      </c>
      <c r="E169" s="23">
        <f t="shared" si="7"/>
        <v>8000000</v>
      </c>
    </row>
    <row r="170" spans="1:5" s="4" customFormat="1" ht="18" x14ac:dyDescent="0.15">
      <c r="A170" s="21"/>
      <c r="B170" s="16" t="s">
        <v>41</v>
      </c>
      <c r="C170" s="65"/>
      <c r="D170" s="65"/>
      <c r="E170" s="38">
        <f>SUM(E171:E175)</f>
        <v>800000</v>
      </c>
    </row>
    <row r="171" spans="1:5" s="4" customFormat="1" ht="18" hidden="1" x14ac:dyDescent="0.15">
      <c r="A171" s="21"/>
      <c r="B171" s="19">
        <v>2019</v>
      </c>
      <c r="C171" s="65"/>
      <c r="D171" s="65"/>
      <c r="E171" s="23"/>
    </row>
    <row r="172" spans="1:5" s="4" customFormat="1" ht="18" hidden="1" x14ac:dyDescent="0.15">
      <c r="A172" s="21"/>
      <c r="B172" s="19">
        <v>2020</v>
      </c>
      <c r="C172" s="65"/>
      <c r="D172" s="65"/>
      <c r="E172" s="23"/>
    </row>
    <row r="173" spans="1:5" s="4" customFormat="1" ht="18" hidden="1" x14ac:dyDescent="0.15">
      <c r="A173" s="21"/>
      <c r="B173" s="19">
        <v>2021</v>
      </c>
      <c r="C173" s="65"/>
      <c r="D173" s="65"/>
      <c r="E173" s="23"/>
    </row>
    <row r="174" spans="1:5" s="4" customFormat="1" ht="18" hidden="1" x14ac:dyDescent="0.15">
      <c r="A174" s="21"/>
      <c r="B174" s="19">
        <v>2022</v>
      </c>
      <c r="C174" s="65"/>
      <c r="D174" s="65"/>
      <c r="E174" s="23"/>
    </row>
    <row r="175" spans="1:5" s="4" customFormat="1" ht="18" x14ac:dyDescent="0.15">
      <c r="A175" s="21"/>
      <c r="B175" s="19">
        <v>2023</v>
      </c>
      <c r="C175" s="65">
        <v>1</v>
      </c>
      <c r="D175" s="65">
        <v>800000</v>
      </c>
      <c r="E175" s="23">
        <f t="shared" si="7"/>
        <v>800000</v>
      </c>
    </row>
    <row r="176" spans="1:5" s="4" customFormat="1" ht="18" x14ac:dyDescent="0.15">
      <c r="A176" s="21"/>
      <c r="B176" s="16" t="s">
        <v>40</v>
      </c>
      <c r="C176" s="65"/>
      <c r="D176" s="65"/>
      <c r="E176" s="38">
        <f>SUM(E177:E181)</f>
        <v>6000000</v>
      </c>
    </row>
    <row r="177" spans="1:5" s="4" customFormat="1" ht="18" x14ac:dyDescent="0.15">
      <c r="A177" s="21"/>
      <c r="B177" s="19">
        <v>2019</v>
      </c>
      <c r="C177" s="65">
        <v>2</v>
      </c>
      <c r="D177" s="65">
        <v>500000</v>
      </c>
      <c r="E177" s="23">
        <f t="shared" si="7"/>
        <v>1000000</v>
      </c>
    </row>
    <row r="178" spans="1:5" s="4" customFormat="1" ht="18" x14ac:dyDescent="0.15">
      <c r="A178" s="21"/>
      <c r="B178" s="19">
        <v>2020</v>
      </c>
      <c r="C178" s="65">
        <v>4</v>
      </c>
      <c r="D178" s="65">
        <v>500000</v>
      </c>
      <c r="E178" s="23">
        <f t="shared" si="7"/>
        <v>2000000</v>
      </c>
    </row>
    <row r="179" spans="1:5" s="4" customFormat="1" ht="18" x14ac:dyDescent="0.15">
      <c r="A179" s="21"/>
      <c r="B179" s="19">
        <v>2021</v>
      </c>
      <c r="C179" s="65">
        <v>1</v>
      </c>
      <c r="D179" s="65">
        <v>500000</v>
      </c>
      <c r="E179" s="23">
        <f t="shared" si="7"/>
        <v>500000</v>
      </c>
    </row>
    <row r="180" spans="1:5" s="4" customFormat="1" ht="18" x14ac:dyDescent="0.15">
      <c r="A180" s="21"/>
      <c r="B180" s="19">
        <v>2022</v>
      </c>
      <c r="C180" s="65">
        <v>3</v>
      </c>
      <c r="D180" s="65">
        <v>500000</v>
      </c>
      <c r="E180" s="23">
        <f t="shared" si="7"/>
        <v>1500000</v>
      </c>
    </row>
    <row r="181" spans="1:5" s="4" customFormat="1" ht="18" x14ac:dyDescent="0.15">
      <c r="A181" s="21"/>
      <c r="B181" s="19">
        <v>2023</v>
      </c>
      <c r="C181" s="65">
        <v>2</v>
      </c>
      <c r="D181" s="65">
        <v>500000</v>
      </c>
      <c r="E181" s="23">
        <f t="shared" si="7"/>
        <v>1000000</v>
      </c>
    </row>
    <row r="182" spans="1:5" s="4" customFormat="1" ht="18" x14ac:dyDescent="0.15">
      <c r="A182" s="17">
        <v>2</v>
      </c>
      <c r="B182" s="19" t="s">
        <v>6</v>
      </c>
      <c r="C182" s="17"/>
      <c r="D182" s="27"/>
      <c r="E182" s="38">
        <f>E183+E189+E203+E209+E215+E221+E227+E233</f>
        <v>27500000</v>
      </c>
    </row>
    <row r="183" spans="1:5" s="5" customFormat="1" ht="18" x14ac:dyDescent="0.15">
      <c r="A183" s="39" t="s">
        <v>23</v>
      </c>
      <c r="B183" s="16" t="s">
        <v>8</v>
      </c>
      <c r="C183" s="42"/>
      <c r="D183" s="42"/>
      <c r="E183" s="38">
        <f>SUM(E184:E188)</f>
        <v>10000000</v>
      </c>
    </row>
    <row r="184" spans="1:5" s="4" customFormat="1" ht="18" x14ac:dyDescent="0.15">
      <c r="A184" s="21"/>
      <c r="B184" s="19">
        <v>2019</v>
      </c>
      <c r="C184" s="24">
        <v>3</v>
      </c>
      <c r="D184" s="22">
        <v>1000000</v>
      </c>
      <c r="E184" s="23">
        <f t="shared" ref="E184:E187" si="8">C184*D184</f>
        <v>3000000</v>
      </c>
    </row>
    <row r="185" spans="1:5" s="4" customFormat="1" ht="18" x14ac:dyDescent="0.15">
      <c r="A185" s="21"/>
      <c r="B185" s="19">
        <v>2020</v>
      </c>
      <c r="C185" s="24">
        <v>1</v>
      </c>
      <c r="D185" s="22">
        <v>1000000</v>
      </c>
      <c r="E185" s="23">
        <f t="shared" si="8"/>
        <v>1000000</v>
      </c>
    </row>
    <row r="186" spans="1:5" s="4" customFormat="1" ht="18" x14ac:dyDescent="0.15">
      <c r="A186" s="21"/>
      <c r="B186" s="19">
        <v>2021</v>
      </c>
      <c r="C186" s="24">
        <v>4</v>
      </c>
      <c r="D186" s="22">
        <v>1000000</v>
      </c>
      <c r="E186" s="23">
        <f t="shared" si="8"/>
        <v>4000000</v>
      </c>
    </row>
    <row r="187" spans="1:5" s="4" customFormat="1" ht="18" x14ac:dyDescent="0.15">
      <c r="A187" s="21"/>
      <c r="B187" s="19">
        <v>2022</v>
      </c>
      <c r="C187" s="24">
        <v>1</v>
      </c>
      <c r="D187" s="22">
        <v>1000000</v>
      </c>
      <c r="E187" s="23">
        <f t="shared" si="8"/>
        <v>1000000</v>
      </c>
    </row>
    <row r="188" spans="1:5" s="4" customFormat="1" ht="18" x14ac:dyDescent="0.15">
      <c r="A188" s="21"/>
      <c r="B188" s="19">
        <v>2023</v>
      </c>
      <c r="C188" s="24">
        <v>1</v>
      </c>
      <c r="D188" s="22">
        <v>1000000</v>
      </c>
      <c r="E188" s="23">
        <f>C188*D188</f>
        <v>1000000</v>
      </c>
    </row>
    <row r="189" spans="1:5" s="5" customFormat="1" ht="18" x14ac:dyDescent="0.15">
      <c r="A189" s="39" t="s">
        <v>23</v>
      </c>
      <c r="B189" s="16" t="s">
        <v>30</v>
      </c>
      <c r="C189" s="42"/>
      <c r="D189" s="42"/>
      <c r="E189" s="38">
        <f>SUM(E190:E193)</f>
        <v>6000000</v>
      </c>
    </row>
    <row r="190" spans="1:5" s="4" customFormat="1" ht="18" x14ac:dyDescent="0.15">
      <c r="A190" s="21"/>
      <c r="B190" s="19">
        <v>2019</v>
      </c>
      <c r="C190" s="30">
        <v>4</v>
      </c>
      <c r="D190" s="31">
        <v>500000</v>
      </c>
      <c r="E190" s="23">
        <f t="shared" ref="E190:E208" si="9">C190*D190</f>
        <v>2000000</v>
      </c>
    </row>
    <row r="191" spans="1:5" s="4" customFormat="1" ht="18" hidden="1" x14ac:dyDescent="0.15">
      <c r="A191" s="21"/>
      <c r="B191" s="19">
        <v>2020</v>
      </c>
      <c r="C191" s="25">
        <v>0</v>
      </c>
      <c r="D191" s="26">
        <v>0</v>
      </c>
      <c r="E191" s="23">
        <f t="shared" si="9"/>
        <v>0</v>
      </c>
    </row>
    <row r="192" spans="1:5" s="4" customFormat="1" ht="18" x14ac:dyDescent="0.15">
      <c r="A192" s="21"/>
      <c r="B192" s="19">
        <v>2021</v>
      </c>
      <c r="C192" s="25">
        <v>4</v>
      </c>
      <c r="D192" s="26">
        <v>500000</v>
      </c>
      <c r="E192" s="23">
        <f t="shared" si="9"/>
        <v>2000000</v>
      </c>
    </row>
    <row r="193" spans="1:5" s="4" customFormat="1" ht="18" x14ac:dyDescent="0.15">
      <c r="A193" s="21"/>
      <c r="B193" s="19">
        <v>2022</v>
      </c>
      <c r="C193" s="25">
        <v>4</v>
      </c>
      <c r="D193" s="26">
        <v>500000</v>
      </c>
      <c r="E193" s="23">
        <f t="shared" si="9"/>
        <v>2000000</v>
      </c>
    </row>
    <row r="194" spans="1:5" s="4" customFormat="1" ht="18" hidden="1" x14ac:dyDescent="0.15">
      <c r="A194" s="21"/>
      <c r="B194" s="19">
        <v>2023</v>
      </c>
      <c r="C194" s="25"/>
      <c r="D194" s="26"/>
      <c r="E194" s="23"/>
    </row>
    <row r="195" spans="1:5" s="4" customFormat="1" ht="18" hidden="1" x14ac:dyDescent="0.2">
      <c r="A195" s="17">
        <v>3</v>
      </c>
      <c r="B195" s="18" t="s">
        <v>10</v>
      </c>
      <c r="C195" s="17"/>
      <c r="D195" s="19"/>
      <c r="E195" s="23"/>
    </row>
    <row r="196" spans="1:5" s="4" customFormat="1" ht="18" hidden="1" x14ac:dyDescent="0.15">
      <c r="A196" s="21" t="s">
        <v>23</v>
      </c>
      <c r="B196" s="19" t="s">
        <v>8</v>
      </c>
      <c r="C196" s="27"/>
      <c r="D196" s="17"/>
      <c r="E196" s="23"/>
    </row>
    <row r="197" spans="1:5" s="4" customFormat="1" ht="18" hidden="1" x14ac:dyDescent="0.15">
      <c r="A197" s="21" t="s">
        <v>23</v>
      </c>
      <c r="B197" s="19" t="s">
        <v>9</v>
      </c>
      <c r="C197" s="27"/>
      <c r="D197" s="17"/>
      <c r="E197" s="23"/>
    </row>
    <row r="198" spans="1:5" s="4" customFormat="1" ht="18" hidden="1" x14ac:dyDescent="0.15">
      <c r="A198" s="21"/>
      <c r="B198" s="19">
        <v>2019</v>
      </c>
      <c r="C198" s="27"/>
      <c r="D198" s="17"/>
      <c r="E198" s="23"/>
    </row>
    <row r="199" spans="1:5" s="4" customFormat="1" ht="18" hidden="1" x14ac:dyDescent="0.15">
      <c r="A199" s="21"/>
      <c r="B199" s="19">
        <v>2020</v>
      </c>
      <c r="C199" s="27"/>
      <c r="D199" s="17"/>
      <c r="E199" s="23"/>
    </row>
    <row r="200" spans="1:5" s="4" customFormat="1" ht="18" hidden="1" x14ac:dyDescent="0.15">
      <c r="A200" s="21"/>
      <c r="B200" s="19">
        <v>2021</v>
      </c>
      <c r="C200" s="27"/>
      <c r="D200" s="17"/>
      <c r="E200" s="23"/>
    </row>
    <row r="201" spans="1:5" s="4" customFormat="1" ht="18" hidden="1" x14ac:dyDescent="0.15">
      <c r="A201" s="21"/>
      <c r="B201" s="19">
        <v>2022</v>
      </c>
      <c r="C201" s="27"/>
      <c r="D201" s="17"/>
      <c r="E201" s="23"/>
    </row>
    <row r="202" spans="1:5" s="4" customFormat="1" ht="18" hidden="1" x14ac:dyDescent="0.15">
      <c r="A202" s="21"/>
      <c r="B202" s="19">
        <v>2023</v>
      </c>
      <c r="C202" s="27"/>
      <c r="D202" s="17"/>
      <c r="E202" s="23"/>
    </row>
    <row r="203" spans="1:5" s="5" customFormat="1" ht="18" x14ac:dyDescent="0.15">
      <c r="A203" s="39"/>
      <c r="B203" s="16" t="s">
        <v>35</v>
      </c>
      <c r="C203" s="15"/>
      <c r="D203" s="13"/>
      <c r="E203" s="38">
        <f>SUM(E204:E208)</f>
        <v>1500000</v>
      </c>
    </row>
    <row r="204" spans="1:5" s="4" customFormat="1" ht="18" hidden="1" x14ac:dyDescent="0.15">
      <c r="A204" s="21"/>
      <c r="B204" s="19">
        <v>2019</v>
      </c>
      <c r="C204" s="27"/>
      <c r="D204" s="17"/>
      <c r="E204" s="23"/>
    </row>
    <row r="205" spans="1:5" s="4" customFormat="1" ht="18" hidden="1" x14ac:dyDescent="0.15">
      <c r="A205" s="21"/>
      <c r="B205" s="19">
        <v>2020</v>
      </c>
      <c r="C205" s="27"/>
      <c r="D205" s="17"/>
      <c r="E205" s="23"/>
    </row>
    <row r="206" spans="1:5" s="4" customFormat="1" ht="18" hidden="1" x14ac:dyDescent="0.15">
      <c r="A206" s="21"/>
      <c r="B206" s="19">
        <v>2021</v>
      </c>
      <c r="C206" s="27"/>
      <c r="D206" s="17"/>
      <c r="E206" s="23"/>
    </row>
    <row r="207" spans="1:5" s="4" customFormat="1" ht="18" x14ac:dyDescent="0.15">
      <c r="A207" s="21"/>
      <c r="B207" s="19">
        <v>2022</v>
      </c>
      <c r="C207" s="24">
        <v>1</v>
      </c>
      <c r="D207" s="66">
        <v>500000</v>
      </c>
      <c r="E207" s="23">
        <f t="shared" si="9"/>
        <v>500000</v>
      </c>
    </row>
    <row r="208" spans="1:5" s="4" customFormat="1" ht="18" x14ac:dyDescent="0.15">
      <c r="A208" s="21"/>
      <c r="B208" s="19">
        <v>2023</v>
      </c>
      <c r="C208" s="24">
        <v>2</v>
      </c>
      <c r="D208" s="66">
        <v>500000</v>
      </c>
      <c r="E208" s="23">
        <f t="shared" si="9"/>
        <v>1000000</v>
      </c>
    </row>
    <row r="209" spans="1:5" s="5" customFormat="1" ht="18" x14ac:dyDescent="0.15">
      <c r="A209" s="39"/>
      <c r="B209" s="16" t="s">
        <v>34</v>
      </c>
      <c r="C209" s="42"/>
      <c r="D209" s="50"/>
      <c r="E209" s="38">
        <f>SUM(E210:E213)</f>
        <v>1000000</v>
      </c>
    </row>
    <row r="210" spans="1:5" s="4" customFormat="1" ht="18" hidden="1" x14ac:dyDescent="0.15">
      <c r="A210" s="21"/>
      <c r="B210" s="19">
        <v>2019</v>
      </c>
      <c r="C210" s="24"/>
      <c r="D210" s="66"/>
      <c r="E210" s="23"/>
    </row>
    <row r="211" spans="1:5" s="4" customFormat="1" ht="18" hidden="1" x14ac:dyDescent="0.15">
      <c r="A211" s="21"/>
      <c r="B211" s="19">
        <v>2020</v>
      </c>
      <c r="C211" s="24"/>
      <c r="D211" s="66"/>
      <c r="E211" s="23"/>
    </row>
    <row r="212" spans="1:5" s="4" customFormat="1" ht="18" hidden="1" x14ac:dyDescent="0.15">
      <c r="A212" s="21"/>
      <c r="B212" s="19">
        <v>2021</v>
      </c>
      <c r="C212" s="24"/>
      <c r="D212" s="66"/>
      <c r="E212" s="23"/>
    </row>
    <row r="213" spans="1:5" s="4" customFormat="1" ht="18" x14ac:dyDescent="0.15">
      <c r="A213" s="21"/>
      <c r="B213" s="19">
        <v>2022</v>
      </c>
      <c r="C213" s="24">
        <v>2</v>
      </c>
      <c r="D213" s="66">
        <v>500000</v>
      </c>
      <c r="E213" s="23">
        <f>D213*C213</f>
        <v>1000000</v>
      </c>
    </row>
    <row r="214" spans="1:5" s="4" customFormat="1" ht="18" hidden="1" x14ac:dyDescent="0.15">
      <c r="A214" s="21"/>
      <c r="B214" s="19">
        <v>2023</v>
      </c>
      <c r="C214" s="27"/>
      <c r="D214" s="17"/>
      <c r="E214" s="23"/>
    </row>
    <row r="215" spans="1:5" s="5" customFormat="1" ht="18" x14ac:dyDescent="0.15">
      <c r="A215" s="39"/>
      <c r="B215" s="16" t="s">
        <v>36</v>
      </c>
      <c r="C215" s="15"/>
      <c r="D215" s="13"/>
      <c r="E215" s="38">
        <f>SUM(E216:E220)</f>
        <v>7500000</v>
      </c>
    </row>
    <row r="216" spans="1:5" s="4" customFormat="1" ht="18" x14ac:dyDescent="0.15">
      <c r="A216" s="21"/>
      <c r="B216" s="19">
        <v>2019</v>
      </c>
      <c r="C216" s="24">
        <v>2</v>
      </c>
      <c r="D216" s="56">
        <v>500000</v>
      </c>
      <c r="E216" s="23">
        <f t="shared" ref="E216:E232" si="10">D216*C216</f>
        <v>1000000</v>
      </c>
    </row>
    <row r="217" spans="1:5" s="4" customFormat="1" ht="18" x14ac:dyDescent="0.15">
      <c r="A217" s="21"/>
      <c r="B217" s="19">
        <v>2020</v>
      </c>
      <c r="C217" s="24">
        <v>3</v>
      </c>
      <c r="D217" s="56">
        <v>500000</v>
      </c>
      <c r="E217" s="23">
        <f t="shared" si="10"/>
        <v>1500000</v>
      </c>
    </row>
    <row r="218" spans="1:5" s="4" customFormat="1" ht="18" x14ac:dyDescent="0.15">
      <c r="A218" s="21"/>
      <c r="B218" s="19">
        <v>2021</v>
      </c>
      <c r="C218" s="24">
        <v>4</v>
      </c>
      <c r="D218" s="56">
        <v>500000</v>
      </c>
      <c r="E218" s="23">
        <f t="shared" si="10"/>
        <v>2000000</v>
      </c>
    </row>
    <row r="219" spans="1:5" s="4" customFormat="1" ht="18" x14ac:dyDescent="0.15">
      <c r="A219" s="21"/>
      <c r="B219" s="19">
        <v>2022</v>
      </c>
      <c r="C219" s="24">
        <v>4</v>
      </c>
      <c r="D219" s="56">
        <v>500000</v>
      </c>
      <c r="E219" s="23">
        <f t="shared" si="10"/>
        <v>2000000</v>
      </c>
    </row>
    <row r="220" spans="1:5" s="4" customFormat="1" ht="18" x14ac:dyDescent="0.15">
      <c r="A220" s="21"/>
      <c r="B220" s="19">
        <v>2023</v>
      </c>
      <c r="C220" s="24">
        <v>2</v>
      </c>
      <c r="D220" s="56">
        <v>500000</v>
      </c>
      <c r="E220" s="23">
        <f t="shared" si="10"/>
        <v>1000000</v>
      </c>
    </row>
    <row r="221" spans="1:5" s="4" customFormat="1" ht="18" x14ac:dyDescent="0.15">
      <c r="A221" s="21"/>
      <c r="B221" s="16" t="s">
        <v>33</v>
      </c>
      <c r="C221" s="24"/>
      <c r="D221" s="56"/>
      <c r="E221" s="38">
        <f>SUM(E222:E226)</f>
        <v>500000</v>
      </c>
    </row>
    <row r="222" spans="1:5" s="4" customFormat="1" ht="18" hidden="1" x14ac:dyDescent="0.15">
      <c r="A222" s="21"/>
      <c r="B222" s="19">
        <v>2019</v>
      </c>
      <c r="C222" s="24"/>
      <c r="D222" s="56"/>
      <c r="E222" s="23">
        <f t="shared" si="10"/>
        <v>0</v>
      </c>
    </row>
    <row r="223" spans="1:5" s="4" customFormat="1" ht="18" hidden="1" x14ac:dyDescent="0.15">
      <c r="A223" s="21"/>
      <c r="B223" s="19">
        <v>2020</v>
      </c>
      <c r="C223" s="24"/>
      <c r="D223" s="56"/>
      <c r="E223" s="23">
        <f t="shared" si="10"/>
        <v>0</v>
      </c>
    </row>
    <row r="224" spans="1:5" s="4" customFormat="1" ht="18" hidden="1" x14ac:dyDescent="0.15">
      <c r="A224" s="21"/>
      <c r="B224" s="19">
        <v>2021</v>
      </c>
      <c r="C224" s="24"/>
      <c r="D224" s="56"/>
      <c r="E224" s="23">
        <f t="shared" si="10"/>
        <v>0</v>
      </c>
    </row>
    <row r="225" spans="1:5" s="4" customFormat="1" ht="18" x14ac:dyDescent="0.15">
      <c r="A225" s="21"/>
      <c r="B225" s="19">
        <v>2022</v>
      </c>
      <c r="C225" s="24">
        <v>1</v>
      </c>
      <c r="D225" s="56">
        <v>500000</v>
      </c>
      <c r="E225" s="23">
        <f t="shared" si="10"/>
        <v>500000</v>
      </c>
    </row>
    <row r="226" spans="1:5" s="4" customFormat="1" ht="18" hidden="1" x14ac:dyDescent="0.15">
      <c r="A226" s="21"/>
      <c r="B226" s="19">
        <v>2023</v>
      </c>
      <c r="C226" s="24"/>
      <c r="D226" s="56"/>
      <c r="E226" s="23">
        <f t="shared" si="10"/>
        <v>0</v>
      </c>
    </row>
    <row r="227" spans="1:5" s="4" customFormat="1" ht="18" x14ac:dyDescent="0.15">
      <c r="A227" s="21"/>
      <c r="B227" s="16" t="s">
        <v>32</v>
      </c>
      <c r="C227" s="24"/>
      <c r="D227" s="56"/>
      <c r="E227" s="38">
        <f>SUM(E228:E232)</f>
        <v>500000</v>
      </c>
    </row>
    <row r="228" spans="1:5" s="4" customFormat="1" ht="18" hidden="1" x14ac:dyDescent="0.15">
      <c r="A228" s="21"/>
      <c r="B228" s="19">
        <v>2019</v>
      </c>
      <c r="C228" s="24"/>
      <c r="D228" s="56"/>
      <c r="E228" s="23">
        <f t="shared" si="10"/>
        <v>0</v>
      </c>
    </row>
    <row r="229" spans="1:5" s="4" customFormat="1" ht="18" hidden="1" x14ac:dyDescent="0.15">
      <c r="A229" s="21"/>
      <c r="B229" s="19">
        <v>2020</v>
      </c>
      <c r="C229" s="24"/>
      <c r="D229" s="56"/>
      <c r="E229" s="23">
        <f t="shared" si="10"/>
        <v>0</v>
      </c>
    </row>
    <row r="230" spans="1:5" s="4" customFormat="1" ht="18" hidden="1" x14ac:dyDescent="0.15">
      <c r="A230" s="21"/>
      <c r="B230" s="19">
        <v>2021</v>
      </c>
      <c r="C230" s="24"/>
      <c r="D230" s="56"/>
      <c r="E230" s="23">
        <f t="shared" si="10"/>
        <v>0</v>
      </c>
    </row>
    <row r="231" spans="1:5" s="4" customFormat="1" ht="18" hidden="1" x14ac:dyDescent="0.15">
      <c r="A231" s="21"/>
      <c r="B231" s="19">
        <v>2022</v>
      </c>
      <c r="C231" s="24"/>
      <c r="D231" s="56"/>
      <c r="E231" s="23">
        <f t="shared" si="10"/>
        <v>0</v>
      </c>
    </row>
    <row r="232" spans="1:5" s="4" customFormat="1" ht="18" x14ac:dyDescent="0.15">
      <c r="A232" s="21"/>
      <c r="B232" s="19">
        <v>2023</v>
      </c>
      <c r="C232" s="65">
        <v>1</v>
      </c>
      <c r="D232" s="65">
        <v>500000</v>
      </c>
      <c r="E232" s="23">
        <f t="shared" si="10"/>
        <v>500000</v>
      </c>
    </row>
    <row r="233" spans="1:5" s="4" customFormat="1" ht="18" x14ac:dyDescent="0.15">
      <c r="A233" s="21"/>
      <c r="B233" s="16" t="s">
        <v>40</v>
      </c>
      <c r="C233" s="65"/>
      <c r="D233" s="65"/>
      <c r="E233" s="38">
        <f>SUM(E234:E238)</f>
        <v>500000</v>
      </c>
    </row>
    <row r="234" spans="1:5" s="4" customFormat="1" ht="18" hidden="1" x14ac:dyDescent="0.15">
      <c r="A234" s="21"/>
      <c r="B234" s="19">
        <v>2019</v>
      </c>
      <c r="C234" s="65"/>
      <c r="D234" s="65"/>
      <c r="E234" s="23"/>
    </row>
    <row r="235" spans="1:5" s="4" customFormat="1" ht="18" hidden="1" x14ac:dyDescent="0.15">
      <c r="A235" s="21"/>
      <c r="B235" s="19">
        <v>2020</v>
      </c>
      <c r="C235" s="65"/>
      <c r="D235" s="65"/>
      <c r="E235" s="23"/>
    </row>
    <row r="236" spans="1:5" s="4" customFormat="1" ht="18" hidden="1" x14ac:dyDescent="0.15">
      <c r="A236" s="21"/>
      <c r="B236" s="19">
        <v>2021</v>
      </c>
      <c r="C236" s="65"/>
      <c r="D236" s="65"/>
      <c r="E236" s="23"/>
    </row>
    <row r="237" spans="1:5" s="4" customFormat="1" ht="18" hidden="1" x14ac:dyDescent="0.15">
      <c r="A237" s="21"/>
      <c r="B237" s="19">
        <v>2022</v>
      </c>
      <c r="C237" s="65"/>
      <c r="D237" s="65"/>
      <c r="E237" s="23"/>
    </row>
    <row r="238" spans="1:5" s="4" customFormat="1" ht="18" x14ac:dyDescent="0.15">
      <c r="A238" s="21"/>
      <c r="B238" s="19">
        <v>2023</v>
      </c>
      <c r="C238" s="65">
        <v>1</v>
      </c>
      <c r="D238" s="65">
        <v>500000</v>
      </c>
      <c r="E238" s="23">
        <f t="shared" ref="E238" si="11">D238*C238</f>
        <v>500000</v>
      </c>
    </row>
    <row r="239" spans="1:5" s="5" customFormat="1" ht="18" x14ac:dyDescent="0.2">
      <c r="A239" s="13" t="s">
        <v>15</v>
      </c>
      <c r="B239" s="15" t="s">
        <v>14</v>
      </c>
      <c r="C239" s="13"/>
      <c r="D239" s="13"/>
      <c r="E239" s="38">
        <f>E240+E271</f>
        <v>599500000</v>
      </c>
    </row>
    <row r="240" spans="1:5" s="4" customFormat="1" ht="47.25" x14ac:dyDescent="0.2">
      <c r="A240" s="17">
        <v>1</v>
      </c>
      <c r="B240" s="18" t="s">
        <v>16</v>
      </c>
      <c r="C240" s="27"/>
      <c r="D240" s="17"/>
      <c r="E240" s="23">
        <f>E241+E253+E259+E265</f>
        <v>78000000</v>
      </c>
    </row>
    <row r="241" spans="1:5" s="5" customFormat="1" ht="18" x14ac:dyDescent="0.15">
      <c r="A241" s="13"/>
      <c r="B241" s="16" t="s">
        <v>8</v>
      </c>
      <c r="C241" s="15"/>
      <c r="D241" s="13"/>
      <c r="E241" s="38">
        <f>SUM(E242:E246)</f>
        <v>66500000</v>
      </c>
    </row>
    <row r="242" spans="1:5" s="4" customFormat="1" ht="18" x14ac:dyDescent="0.15">
      <c r="A242" s="17"/>
      <c r="B242" s="19">
        <v>2019</v>
      </c>
      <c r="C242" s="24">
        <v>29</v>
      </c>
      <c r="D242" s="32">
        <v>500000</v>
      </c>
      <c r="E242" s="23">
        <f t="shared" ref="E242:E245" si="12">C242*D242</f>
        <v>14500000</v>
      </c>
    </row>
    <row r="243" spans="1:5" s="4" customFormat="1" ht="18" x14ac:dyDescent="0.15">
      <c r="A243" s="17"/>
      <c r="B243" s="19">
        <v>2020</v>
      </c>
      <c r="C243" s="24">
        <v>39</v>
      </c>
      <c r="D243" s="32">
        <v>500000</v>
      </c>
      <c r="E243" s="23">
        <f t="shared" si="12"/>
        <v>19500000</v>
      </c>
    </row>
    <row r="244" spans="1:5" s="4" customFormat="1" ht="18" x14ac:dyDescent="0.15">
      <c r="A244" s="17"/>
      <c r="B244" s="19">
        <v>2021</v>
      </c>
      <c r="C244" s="24">
        <v>20</v>
      </c>
      <c r="D244" s="32">
        <v>500000</v>
      </c>
      <c r="E244" s="23">
        <f t="shared" si="12"/>
        <v>10000000</v>
      </c>
    </row>
    <row r="245" spans="1:5" s="4" customFormat="1" ht="18" x14ac:dyDescent="0.15">
      <c r="A245" s="17"/>
      <c r="B245" s="19">
        <v>2022</v>
      </c>
      <c r="C245" s="24">
        <v>31</v>
      </c>
      <c r="D245" s="32">
        <v>500000</v>
      </c>
      <c r="E245" s="23">
        <f t="shared" si="12"/>
        <v>15500000</v>
      </c>
    </row>
    <row r="246" spans="1:5" s="4" customFormat="1" ht="18" x14ac:dyDescent="0.15">
      <c r="A246" s="17"/>
      <c r="B246" s="19">
        <v>2023</v>
      </c>
      <c r="C246" s="24">
        <v>14</v>
      </c>
      <c r="D246" s="32">
        <v>500000</v>
      </c>
      <c r="E246" s="23">
        <f>C246*D246</f>
        <v>7000000</v>
      </c>
    </row>
    <row r="247" spans="1:5" s="4" customFormat="1" ht="18" x14ac:dyDescent="0.15">
      <c r="A247" s="17"/>
      <c r="B247" s="16" t="s">
        <v>9</v>
      </c>
      <c r="C247" s="27"/>
      <c r="D247" s="17"/>
      <c r="E247" s="23"/>
    </row>
    <row r="248" spans="1:5" s="4" customFormat="1" ht="18" hidden="1" x14ac:dyDescent="0.15">
      <c r="A248" s="17"/>
      <c r="B248" s="19">
        <v>2019</v>
      </c>
      <c r="C248" s="27"/>
      <c r="D248" s="17"/>
      <c r="E248" s="23">
        <f t="shared" ref="E248:E270" si="13">C248*D248</f>
        <v>0</v>
      </c>
    </row>
    <row r="249" spans="1:5" s="4" customFormat="1" ht="18" hidden="1" x14ac:dyDescent="0.15">
      <c r="A249" s="17"/>
      <c r="B249" s="19">
        <v>2020</v>
      </c>
      <c r="C249" s="27"/>
      <c r="D249" s="17"/>
      <c r="E249" s="23">
        <f t="shared" si="13"/>
        <v>0</v>
      </c>
    </row>
    <row r="250" spans="1:5" s="4" customFormat="1" ht="18" hidden="1" x14ac:dyDescent="0.15">
      <c r="A250" s="17"/>
      <c r="B250" s="19">
        <v>2021</v>
      </c>
      <c r="C250" s="27"/>
      <c r="D250" s="17"/>
      <c r="E250" s="23">
        <f t="shared" si="13"/>
        <v>0</v>
      </c>
    </row>
    <row r="251" spans="1:5" s="4" customFormat="1" ht="18" hidden="1" x14ac:dyDescent="0.15">
      <c r="A251" s="17"/>
      <c r="B251" s="19">
        <v>2022</v>
      </c>
      <c r="C251" s="27"/>
      <c r="D251" s="17"/>
      <c r="E251" s="23">
        <f t="shared" si="13"/>
        <v>0</v>
      </c>
    </row>
    <row r="252" spans="1:5" s="4" customFormat="1" ht="18" hidden="1" x14ac:dyDescent="0.15">
      <c r="A252" s="17"/>
      <c r="B252" s="19">
        <v>2023</v>
      </c>
      <c r="C252" s="27"/>
      <c r="D252" s="17"/>
      <c r="E252" s="23">
        <f t="shared" si="13"/>
        <v>0</v>
      </c>
    </row>
    <row r="253" spans="1:5" s="5" customFormat="1" ht="18" x14ac:dyDescent="0.15">
      <c r="A253" s="13"/>
      <c r="B253" s="16" t="s">
        <v>35</v>
      </c>
      <c r="C253" s="15"/>
      <c r="D253" s="13"/>
      <c r="E253" s="38">
        <f>SUM(E254:E258)</f>
        <v>1000000</v>
      </c>
    </row>
    <row r="254" spans="1:5" s="4" customFormat="1" ht="18" x14ac:dyDescent="0.15">
      <c r="A254" s="17"/>
      <c r="B254" s="19">
        <v>2019</v>
      </c>
      <c r="C254" s="24">
        <v>2</v>
      </c>
      <c r="D254" s="67">
        <v>500000</v>
      </c>
      <c r="E254" s="23">
        <f t="shared" si="13"/>
        <v>1000000</v>
      </c>
    </row>
    <row r="255" spans="1:5" s="4" customFormat="1" ht="18" hidden="1" x14ac:dyDescent="0.15">
      <c r="A255" s="17"/>
      <c r="B255" s="19">
        <v>2020</v>
      </c>
      <c r="C255" s="27"/>
      <c r="D255" s="17"/>
      <c r="E255" s="23"/>
    </row>
    <row r="256" spans="1:5" s="4" customFormat="1" ht="18" hidden="1" x14ac:dyDescent="0.15">
      <c r="A256" s="17"/>
      <c r="B256" s="19">
        <v>2021</v>
      </c>
      <c r="C256" s="27"/>
      <c r="D256" s="17"/>
      <c r="E256" s="23"/>
    </row>
    <row r="257" spans="1:5" s="4" customFormat="1" ht="18" hidden="1" x14ac:dyDescent="0.15">
      <c r="A257" s="17"/>
      <c r="B257" s="19">
        <v>2022</v>
      </c>
      <c r="C257" s="27"/>
      <c r="D257" s="17"/>
      <c r="E257" s="23"/>
    </row>
    <row r="258" spans="1:5" s="4" customFormat="1" ht="18" hidden="1" x14ac:dyDescent="0.15">
      <c r="A258" s="17"/>
      <c r="B258" s="19">
        <v>2023</v>
      </c>
      <c r="C258" s="27"/>
      <c r="D258" s="17"/>
      <c r="E258" s="23"/>
    </row>
    <row r="259" spans="1:5" s="4" customFormat="1" ht="18" x14ac:dyDescent="0.15">
      <c r="A259" s="17"/>
      <c r="B259" s="16" t="s">
        <v>41</v>
      </c>
      <c r="C259" s="27"/>
      <c r="D259" s="17"/>
      <c r="E259" s="38">
        <f>SUM(E260:E264)</f>
        <v>8500000</v>
      </c>
    </row>
    <row r="260" spans="1:5" s="4" customFormat="1" ht="18" hidden="1" x14ac:dyDescent="0.15">
      <c r="A260" s="17"/>
      <c r="B260" s="19">
        <v>2019</v>
      </c>
      <c r="C260" s="27"/>
      <c r="D260" s="17"/>
      <c r="E260" s="23"/>
    </row>
    <row r="261" spans="1:5" s="4" customFormat="1" ht="18" hidden="1" x14ac:dyDescent="0.15">
      <c r="A261" s="17"/>
      <c r="B261" s="19">
        <v>2020</v>
      </c>
      <c r="C261" s="27"/>
      <c r="D261" s="17"/>
      <c r="E261" s="23"/>
    </row>
    <row r="262" spans="1:5" s="4" customFormat="1" ht="18" hidden="1" x14ac:dyDescent="0.15">
      <c r="A262" s="17"/>
      <c r="B262" s="19">
        <v>2021</v>
      </c>
      <c r="C262" s="27"/>
      <c r="D262" s="17"/>
      <c r="E262" s="23"/>
    </row>
    <row r="263" spans="1:5" s="4" customFormat="1" ht="18" hidden="1" x14ac:dyDescent="0.15">
      <c r="A263" s="17"/>
      <c r="B263" s="19">
        <v>2022</v>
      </c>
      <c r="C263" s="27"/>
      <c r="D263" s="17"/>
      <c r="E263" s="23"/>
    </row>
    <row r="264" spans="1:5" s="4" customFormat="1" ht="18" x14ac:dyDescent="0.15">
      <c r="A264" s="17"/>
      <c r="B264" s="19">
        <v>2023</v>
      </c>
      <c r="C264" s="27">
        <v>17</v>
      </c>
      <c r="D264" s="32">
        <v>500000</v>
      </c>
      <c r="E264" s="23">
        <f t="shared" si="13"/>
        <v>8500000</v>
      </c>
    </row>
    <row r="265" spans="1:5" s="5" customFormat="1" ht="18" x14ac:dyDescent="0.15">
      <c r="A265" s="13"/>
      <c r="B265" s="16" t="s">
        <v>34</v>
      </c>
      <c r="C265" s="15"/>
      <c r="D265" s="13"/>
      <c r="E265" s="38">
        <f>SUM(E266:E270)</f>
        <v>2000000</v>
      </c>
    </row>
    <row r="266" spans="1:5" s="4" customFormat="1" ht="18" hidden="1" x14ac:dyDescent="0.15">
      <c r="A266" s="17"/>
      <c r="B266" s="19">
        <v>2019</v>
      </c>
      <c r="C266" s="27"/>
      <c r="D266" s="17"/>
      <c r="E266" s="23"/>
    </row>
    <row r="267" spans="1:5" s="4" customFormat="1" ht="18" hidden="1" x14ac:dyDescent="0.15">
      <c r="A267" s="17"/>
      <c r="B267" s="19">
        <v>2020</v>
      </c>
      <c r="C267" s="27"/>
      <c r="D267" s="17"/>
      <c r="E267" s="23"/>
    </row>
    <row r="268" spans="1:5" s="4" customFormat="1" ht="18" hidden="1" x14ac:dyDescent="0.15">
      <c r="A268" s="17"/>
      <c r="B268" s="19">
        <v>2021</v>
      </c>
      <c r="C268" s="27"/>
      <c r="D268" s="17"/>
      <c r="E268" s="23"/>
    </row>
    <row r="269" spans="1:5" s="4" customFormat="1" ht="18" x14ac:dyDescent="0.15">
      <c r="A269" s="17"/>
      <c r="B269" s="19">
        <v>2022</v>
      </c>
      <c r="C269" s="24">
        <v>2</v>
      </c>
      <c r="D269" s="29">
        <v>500000</v>
      </c>
      <c r="E269" s="23">
        <f t="shared" si="13"/>
        <v>1000000</v>
      </c>
    </row>
    <row r="270" spans="1:5" s="4" customFormat="1" ht="18" x14ac:dyDescent="0.15">
      <c r="A270" s="17"/>
      <c r="B270" s="19">
        <v>2023</v>
      </c>
      <c r="C270" s="24">
        <v>2</v>
      </c>
      <c r="D270" s="29">
        <v>500000</v>
      </c>
      <c r="E270" s="23">
        <f t="shared" si="13"/>
        <v>1000000</v>
      </c>
    </row>
    <row r="271" spans="1:5" s="4" customFormat="1" ht="31.5" x14ac:dyDescent="0.2">
      <c r="A271" s="17">
        <v>2</v>
      </c>
      <c r="B271" s="18" t="s">
        <v>17</v>
      </c>
      <c r="C271" s="17"/>
      <c r="D271" s="17"/>
      <c r="E271" s="23">
        <f>E272+E284+E290+E296</f>
        <v>521500000</v>
      </c>
    </row>
    <row r="272" spans="1:5" s="5" customFormat="1" ht="18" x14ac:dyDescent="0.15">
      <c r="A272" s="13"/>
      <c r="B272" s="16" t="s">
        <v>8</v>
      </c>
      <c r="C272" s="13"/>
      <c r="D272" s="13"/>
      <c r="E272" s="38">
        <f>SUM(E273:E277)</f>
        <v>40000000</v>
      </c>
    </row>
    <row r="273" spans="1:5" s="4" customFormat="1" ht="18" x14ac:dyDescent="0.15">
      <c r="A273" s="17"/>
      <c r="B273" s="19">
        <v>2019</v>
      </c>
      <c r="C273" s="17">
        <v>15</v>
      </c>
      <c r="D273" s="32">
        <v>500000</v>
      </c>
      <c r="E273" s="23">
        <f>C273*D273</f>
        <v>7500000</v>
      </c>
    </row>
    <row r="274" spans="1:5" s="4" customFormat="1" ht="18" x14ac:dyDescent="0.15">
      <c r="A274" s="17"/>
      <c r="B274" s="19">
        <v>2020</v>
      </c>
      <c r="C274" s="17">
        <v>23</v>
      </c>
      <c r="D274" s="32">
        <v>500000</v>
      </c>
      <c r="E274" s="23">
        <f>C274*D274</f>
        <v>11500000</v>
      </c>
    </row>
    <row r="275" spans="1:5" s="4" customFormat="1" ht="18" x14ac:dyDescent="0.15">
      <c r="A275" s="17"/>
      <c r="B275" s="19">
        <v>2021</v>
      </c>
      <c r="C275" s="17">
        <v>7</v>
      </c>
      <c r="D275" s="32">
        <v>500000</v>
      </c>
      <c r="E275" s="23">
        <f>C275*D275</f>
        <v>3500000</v>
      </c>
    </row>
    <row r="276" spans="1:5" s="4" customFormat="1" ht="18" x14ac:dyDescent="0.15">
      <c r="A276" s="17"/>
      <c r="B276" s="19">
        <v>2022</v>
      </c>
      <c r="C276" s="17">
        <v>20</v>
      </c>
      <c r="D276" s="32">
        <v>500000</v>
      </c>
      <c r="E276" s="23">
        <f t="shared" ref="E276:E301" si="14">C276*D276</f>
        <v>10000000</v>
      </c>
    </row>
    <row r="277" spans="1:5" s="4" customFormat="1" ht="18" x14ac:dyDescent="0.15">
      <c r="A277" s="17"/>
      <c r="B277" s="19">
        <v>2023</v>
      </c>
      <c r="C277" s="17">
        <v>15</v>
      </c>
      <c r="D277" s="32">
        <v>500000</v>
      </c>
      <c r="E277" s="23">
        <f t="shared" si="14"/>
        <v>7500000</v>
      </c>
    </row>
    <row r="278" spans="1:5" s="4" customFormat="1" ht="18" x14ac:dyDescent="0.15">
      <c r="A278" s="17"/>
      <c r="B278" s="16" t="s">
        <v>9</v>
      </c>
      <c r="C278" s="17"/>
      <c r="D278" s="17"/>
      <c r="E278" s="23"/>
    </row>
    <row r="279" spans="1:5" s="4" customFormat="1" ht="18" hidden="1" x14ac:dyDescent="0.15">
      <c r="A279" s="17"/>
      <c r="B279" s="19">
        <v>2019</v>
      </c>
      <c r="C279" s="17"/>
      <c r="D279" s="17"/>
      <c r="E279" s="23">
        <f t="shared" si="14"/>
        <v>0</v>
      </c>
    </row>
    <row r="280" spans="1:5" s="4" customFormat="1" ht="18" hidden="1" x14ac:dyDescent="0.15">
      <c r="A280" s="17"/>
      <c r="B280" s="19">
        <v>2020</v>
      </c>
      <c r="C280" s="17"/>
      <c r="D280" s="17"/>
      <c r="E280" s="23">
        <f t="shared" si="14"/>
        <v>0</v>
      </c>
    </row>
    <row r="281" spans="1:5" ht="18" hidden="1" x14ac:dyDescent="0.2">
      <c r="A281" s="33"/>
      <c r="B281" s="19">
        <v>2021</v>
      </c>
      <c r="C281" s="33"/>
      <c r="D281" s="34"/>
      <c r="E281" s="23">
        <f t="shared" si="14"/>
        <v>0</v>
      </c>
    </row>
    <row r="282" spans="1:5" ht="18" hidden="1" x14ac:dyDescent="0.2">
      <c r="A282" s="33"/>
      <c r="B282" s="19">
        <v>2022</v>
      </c>
      <c r="C282" s="33"/>
      <c r="D282" s="34"/>
      <c r="E282" s="23">
        <f t="shared" si="14"/>
        <v>0</v>
      </c>
    </row>
    <row r="283" spans="1:5" ht="18" hidden="1" x14ac:dyDescent="0.2">
      <c r="A283" s="33"/>
      <c r="B283" s="19">
        <v>2023</v>
      </c>
      <c r="C283" s="33"/>
      <c r="D283" s="34"/>
      <c r="E283" s="23">
        <f t="shared" si="14"/>
        <v>0</v>
      </c>
    </row>
    <row r="284" spans="1:5" ht="18" x14ac:dyDescent="0.2">
      <c r="A284" s="33"/>
      <c r="B284" s="16" t="s">
        <v>32</v>
      </c>
      <c r="C284" s="33"/>
      <c r="D284" s="34"/>
      <c r="E284" s="38">
        <f>SUM(E285:E289)</f>
        <v>27500000</v>
      </c>
    </row>
    <row r="285" spans="1:5" ht="18" hidden="1" x14ac:dyDescent="0.2">
      <c r="A285" s="33"/>
      <c r="B285" s="19">
        <v>2019</v>
      </c>
      <c r="C285" s="33"/>
      <c r="D285" s="34"/>
      <c r="E285" s="23">
        <f t="shared" si="14"/>
        <v>0</v>
      </c>
    </row>
    <row r="286" spans="1:5" ht="18" hidden="1" x14ac:dyDescent="0.2">
      <c r="A286" s="33"/>
      <c r="B286" s="19">
        <v>2020</v>
      </c>
      <c r="C286" s="33"/>
      <c r="D286" s="34"/>
      <c r="E286" s="23">
        <f t="shared" si="14"/>
        <v>0</v>
      </c>
    </row>
    <row r="287" spans="1:5" ht="18" hidden="1" x14ac:dyDescent="0.2">
      <c r="A287" s="33"/>
      <c r="B287" s="19">
        <v>2021</v>
      </c>
      <c r="C287" s="33"/>
      <c r="D287" s="34"/>
      <c r="E287" s="23">
        <f t="shared" si="14"/>
        <v>0</v>
      </c>
    </row>
    <row r="288" spans="1:5" ht="18" x14ac:dyDescent="0.2">
      <c r="A288" s="33"/>
      <c r="B288" s="19">
        <v>2022</v>
      </c>
      <c r="C288" s="68">
        <v>41</v>
      </c>
      <c r="D288" s="69">
        <v>500000</v>
      </c>
      <c r="E288" s="23">
        <f t="shared" si="14"/>
        <v>20500000</v>
      </c>
    </row>
    <row r="289" spans="1:5" ht="18" x14ac:dyDescent="0.2">
      <c r="A289" s="33"/>
      <c r="B289" s="19">
        <v>2023</v>
      </c>
      <c r="C289" s="68">
        <v>14</v>
      </c>
      <c r="D289" s="69">
        <v>500000</v>
      </c>
      <c r="E289" s="23">
        <f t="shared" si="14"/>
        <v>7000000</v>
      </c>
    </row>
    <row r="290" spans="1:5" ht="18" x14ac:dyDescent="0.2">
      <c r="A290" s="33"/>
      <c r="B290" s="16" t="s">
        <v>41</v>
      </c>
      <c r="C290" s="68"/>
      <c r="D290" s="69"/>
      <c r="E290" s="38">
        <f>SUM(E291:E295)</f>
        <v>64000000</v>
      </c>
    </row>
    <row r="291" spans="1:5" ht="18" hidden="1" x14ac:dyDescent="0.2">
      <c r="A291" s="33"/>
      <c r="B291" s="19">
        <v>2019</v>
      </c>
      <c r="C291" s="68"/>
      <c r="D291" s="69"/>
      <c r="E291" s="23"/>
    </row>
    <row r="292" spans="1:5" ht="18" hidden="1" x14ac:dyDescent="0.2">
      <c r="A292" s="33"/>
      <c r="B292" s="19">
        <v>2020</v>
      </c>
      <c r="C292" s="68"/>
      <c r="D292" s="69"/>
      <c r="E292" s="23"/>
    </row>
    <row r="293" spans="1:5" ht="18" hidden="1" x14ac:dyDescent="0.2">
      <c r="A293" s="33"/>
      <c r="B293" s="19">
        <v>2021</v>
      </c>
      <c r="C293" s="68"/>
      <c r="D293" s="69"/>
      <c r="E293" s="23"/>
    </row>
    <row r="294" spans="1:5" ht="18" hidden="1" x14ac:dyDescent="0.2">
      <c r="A294" s="33"/>
      <c r="B294" s="19">
        <v>2022</v>
      </c>
      <c r="C294" s="68"/>
      <c r="D294" s="69"/>
      <c r="E294" s="23"/>
    </row>
    <row r="295" spans="1:5" ht="18" x14ac:dyDescent="0.2">
      <c r="A295" s="33"/>
      <c r="B295" s="19">
        <v>2023</v>
      </c>
      <c r="C295" s="17">
        <v>128</v>
      </c>
      <c r="D295" s="17">
        <v>500000</v>
      </c>
      <c r="E295" s="23">
        <f t="shared" si="14"/>
        <v>64000000</v>
      </c>
    </row>
    <row r="296" spans="1:5" ht="18" x14ac:dyDescent="0.2">
      <c r="A296" s="33"/>
      <c r="B296" s="16" t="s">
        <v>40</v>
      </c>
      <c r="C296" s="68"/>
      <c r="D296" s="69"/>
      <c r="E296" s="38">
        <f>SUM(E297:E301)</f>
        <v>390000000</v>
      </c>
    </row>
    <row r="297" spans="1:5" ht="18" x14ac:dyDescent="0.2">
      <c r="A297" s="33"/>
      <c r="B297" s="19">
        <v>2019</v>
      </c>
      <c r="C297" s="68">
        <v>140</v>
      </c>
      <c r="D297" s="69">
        <v>500000</v>
      </c>
      <c r="E297" s="23">
        <f t="shared" si="14"/>
        <v>70000000</v>
      </c>
    </row>
    <row r="298" spans="1:5" ht="18" x14ac:dyDescent="0.2">
      <c r="A298" s="33"/>
      <c r="B298" s="19">
        <v>2020</v>
      </c>
      <c r="C298" s="68">
        <v>140</v>
      </c>
      <c r="D298" s="69">
        <v>500000</v>
      </c>
      <c r="E298" s="23">
        <f t="shared" si="14"/>
        <v>70000000</v>
      </c>
    </row>
    <row r="299" spans="1:5" ht="18" x14ac:dyDescent="0.2">
      <c r="A299" s="33"/>
      <c r="B299" s="19">
        <v>2021</v>
      </c>
      <c r="C299" s="68">
        <v>140</v>
      </c>
      <c r="D299" s="69">
        <v>500000</v>
      </c>
      <c r="E299" s="23">
        <f t="shared" si="14"/>
        <v>70000000</v>
      </c>
    </row>
    <row r="300" spans="1:5" ht="18" x14ac:dyDescent="0.2">
      <c r="A300" s="33"/>
      <c r="B300" s="19">
        <v>2022</v>
      </c>
      <c r="C300" s="68">
        <v>180</v>
      </c>
      <c r="D300" s="69">
        <v>500000</v>
      </c>
      <c r="E300" s="23">
        <f t="shared" si="14"/>
        <v>90000000</v>
      </c>
    </row>
    <row r="301" spans="1:5" ht="18" x14ac:dyDescent="0.2">
      <c r="A301" s="33"/>
      <c r="B301" s="19">
        <v>2023</v>
      </c>
      <c r="C301" s="68">
        <v>180</v>
      </c>
      <c r="D301" s="69">
        <v>500000</v>
      </c>
      <c r="E301" s="23">
        <f t="shared" si="14"/>
        <v>90000000</v>
      </c>
    </row>
    <row r="302" spans="1:5" s="2" customFormat="1" ht="18" x14ac:dyDescent="0.2">
      <c r="A302" s="132" t="s">
        <v>29</v>
      </c>
      <c r="B302" s="132"/>
      <c r="C302" s="35"/>
      <c r="D302" s="36"/>
      <c r="E302" s="37">
        <f>E8+E115+E239</f>
        <v>2798200000</v>
      </c>
    </row>
    <row r="304" spans="1:5" ht="18" x14ac:dyDescent="0.2">
      <c r="E304" s="87"/>
    </row>
    <row r="305" spans="5:5" ht="18" x14ac:dyDescent="0.2">
      <c r="E305" s="87"/>
    </row>
    <row r="306" spans="5:5" ht="18" x14ac:dyDescent="0.2">
      <c r="E306" s="87"/>
    </row>
    <row r="307" spans="5:5" ht="18" x14ac:dyDescent="0.2">
      <c r="E307" s="87"/>
    </row>
  </sheetData>
  <mergeCells count="10">
    <mergeCell ref="A1:E1"/>
    <mergeCell ref="A302:B302"/>
    <mergeCell ref="A2:E2"/>
    <mergeCell ref="B126:B127"/>
    <mergeCell ref="B118:B119"/>
    <mergeCell ref="B124:B125"/>
    <mergeCell ref="B120:B121"/>
    <mergeCell ref="B122:B123"/>
    <mergeCell ref="A3:E3"/>
    <mergeCell ref="A4:E4"/>
  </mergeCells>
  <pageMargins left="0.53" right="0.32" top="0.75" bottom="0.75" header="0.3" footer="0.3"/>
  <pageSetup paperSize="9" orientation="landscape" horizontalDpi="300" verticalDpi="300" r:id="rId1"/>
  <headerFooter differentFirst="1">
    <oddHeader>&amp;C&amp;P</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0"/>
  <sheetViews>
    <sheetView workbookViewId="0">
      <selection activeCell="E8" sqref="E8"/>
    </sheetView>
  </sheetViews>
  <sheetFormatPr defaultRowHeight="18.75" x14ac:dyDescent="0.25"/>
  <cols>
    <col min="1" max="1" width="4.2890625" style="70" bestFit="1" customWidth="1"/>
    <col min="2" max="2" width="40.33203125" style="70" customWidth="1"/>
    <col min="3" max="3" width="31.87109375" style="70" customWidth="1"/>
    <col min="4" max="4" width="35.671875" style="70" customWidth="1"/>
    <col min="5" max="5" width="10.41796875" style="70" customWidth="1"/>
    <col min="6" max="6" width="35.671875" style="70" customWidth="1"/>
    <col min="7" max="7" width="9.4375" style="70" customWidth="1"/>
    <col min="8" max="8" width="35.671875" style="70" customWidth="1"/>
    <col min="9" max="9" width="9.4375" style="70" customWidth="1"/>
    <col min="10" max="10" width="40.453125" style="70" customWidth="1"/>
    <col min="11" max="11" width="9.4375" style="70" customWidth="1"/>
  </cols>
  <sheetData>
    <row r="1" spans="1:11" ht="18" x14ac:dyDescent="0.2">
      <c r="A1" s="131" t="s">
        <v>136</v>
      </c>
      <c r="B1" s="131"/>
      <c r="C1" s="131"/>
      <c r="D1" s="131"/>
      <c r="E1" s="131"/>
      <c r="F1" s="131"/>
      <c r="G1" s="131"/>
      <c r="H1" s="131"/>
      <c r="I1" s="131"/>
      <c r="J1" s="131"/>
      <c r="K1" s="131"/>
    </row>
    <row r="2" spans="1:11" ht="18" x14ac:dyDescent="0.2">
      <c r="A2" s="137" t="s">
        <v>118</v>
      </c>
      <c r="B2" s="137"/>
      <c r="C2" s="137"/>
      <c r="D2" s="137"/>
      <c r="E2" s="137"/>
      <c r="F2" s="137"/>
      <c r="G2" s="137"/>
      <c r="H2" s="137"/>
      <c r="I2" s="137"/>
      <c r="J2" s="137"/>
      <c r="K2" s="137"/>
    </row>
    <row r="3" spans="1:11" ht="18.75" customHeight="1" x14ac:dyDescent="0.2">
      <c r="A3" s="138" t="s">
        <v>140</v>
      </c>
      <c r="B3" s="138"/>
      <c r="C3" s="138"/>
      <c r="D3" s="138"/>
      <c r="E3" s="138"/>
      <c r="F3" s="138"/>
      <c r="G3" s="138"/>
      <c r="H3" s="138"/>
      <c r="I3" s="138"/>
      <c r="J3" s="138"/>
      <c r="K3" s="138"/>
    </row>
    <row r="4" spans="1:11" ht="18.75" customHeight="1" x14ac:dyDescent="0.2">
      <c r="A4" s="139"/>
      <c r="B4" s="139"/>
      <c r="C4" s="139"/>
      <c r="D4" s="139"/>
      <c r="E4" s="139"/>
      <c r="F4" s="139"/>
      <c r="G4" s="139"/>
      <c r="H4" s="139"/>
      <c r="I4" s="139"/>
      <c r="J4" s="139"/>
      <c r="K4" s="139"/>
    </row>
    <row r="5" spans="1:11" ht="18" x14ac:dyDescent="0.2">
      <c r="A5" s="78"/>
      <c r="B5" s="78"/>
      <c r="C5" s="78"/>
      <c r="D5" s="78"/>
      <c r="E5" s="78"/>
      <c r="F5" s="78"/>
      <c r="G5" s="78"/>
      <c r="H5" s="78"/>
      <c r="I5" s="78"/>
      <c r="J5" s="78"/>
      <c r="K5" s="78"/>
    </row>
    <row r="6" spans="1:11" s="88" customFormat="1" ht="47.25" x14ac:dyDescent="0.2">
      <c r="A6" s="121" t="s">
        <v>120</v>
      </c>
      <c r="B6" s="82" t="s">
        <v>47</v>
      </c>
      <c r="C6" s="82" t="s">
        <v>121</v>
      </c>
      <c r="D6" s="82" t="s">
        <v>69</v>
      </c>
      <c r="E6" s="82" t="s">
        <v>122</v>
      </c>
      <c r="F6" s="82" t="s">
        <v>67</v>
      </c>
      <c r="G6" s="82" t="s">
        <v>122</v>
      </c>
      <c r="H6" s="82" t="s">
        <v>70</v>
      </c>
      <c r="I6" s="82" t="s">
        <v>122</v>
      </c>
      <c r="J6" s="82" t="s">
        <v>68</v>
      </c>
      <c r="K6" s="82" t="s">
        <v>122</v>
      </c>
    </row>
    <row r="7" spans="1:11" ht="18" x14ac:dyDescent="0.15">
      <c r="A7" s="71" t="s">
        <v>27</v>
      </c>
      <c r="B7" s="76" t="s">
        <v>28</v>
      </c>
      <c r="C7" s="76">
        <v>1</v>
      </c>
      <c r="D7" s="76">
        <v>2</v>
      </c>
      <c r="E7" s="76" t="s">
        <v>123</v>
      </c>
      <c r="F7" s="71">
        <v>4</v>
      </c>
      <c r="G7" s="71" t="s">
        <v>124</v>
      </c>
      <c r="H7" s="71">
        <v>6</v>
      </c>
      <c r="I7" s="71" t="s">
        <v>125</v>
      </c>
      <c r="J7" s="71">
        <v>8</v>
      </c>
      <c r="K7" s="71" t="s">
        <v>126</v>
      </c>
    </row>
    <row r="8" spans="1:11" ht="31.5" x14ac:dyDescent="0.2">
      <c r="A8" s="71" t="s">
        <v>2</v>
      </c>
      <c r="B8" s="9" t="s">
        <v>48</v>
      </c>
      <c r="C8" s="12" t="s">
        <v>46</v>
      </c>
      <c r="D8" s="71"/>
      <c r="E8" s="71"/>
      <c r="F8" s="10" t="s">
        <v>63</v>
      </c>
      <c r="G8" s="74"/>
      <c r="H8" s="10" t="s">
        <v>63</v>
      </c>
      <c r="I8" s="74"/>
      <c r="J8" s="10" t="s">
        <v>63</v>
      </c>
      <c r="K8" s="74"/>
    </row>
    <row r="9" spans="1:11" ht="18" x14ac:dyDescent="0.2">
      <c r="A9" s="11" t="s">
        <v>23</v>
      </c>
      <c r="B9" s="7" t="s">
        <v>8</v>
      </c>
      <c r="C9" s="12"/>
      <c r="D9" s="120" t="s">
        <v>74</v>
      </c>
      <c r="E9" s="119">
        <f>1000000/1000000</f>
        <v>1</v>
      </c>
      <c r="F9" s="10"/>
      <c r="G9" s="75"/>
      <c r="H9" s="10"/>
      <c r="I9" s="75"/>
      <c r="J9" s="10"/>
      <c r="K9" s="75"/>
    </row>
    <row r="10" spans="1:11" ht="18" x14ac:dyDescent="0.2">
      <c r="A10" s="11" t="s">
        <v>23</v>
      </c>
      <c r="B10" s="7" t="s">
        <v>9</v>
      </c>
      <c r="C10" s="12"/>
      <c r="D10" s="120" t="s">
        <v>76</v>
      </c>
      <c r="E10" s="119">
        <f>800000/1000000</f>
        <v>0.8</v>
      </c>
      <c r="F10" s="10"/>
      <c r="G10" s="75"/>
      <c r="H10" s="10"/>
      <c r="I10" s="75"/>
      <c r="J10" s="10"/>
      <c r="K10" s="75"/>
    </row>
    <row r="11" spans="1:11" ht="18" x14ac:dyDescent="0.2">
      <c r="A11" s="11" t="s">
        <v>23</v>
      </c>
      <c r="B11" s="7" t="s">
        <v>44</v>
      </c>
      <c r="C11" s="12"/>
      <c r="D11" s="120" t="s">
        <v>75</v>
      </c>
      <c r="E11" s="119">
        <f>600000/1000000</f>
        <v>0.6</v>
      </c>
      <c r="F11" s="10"/>
      <c r="G11" s="75"/>
      <c r="H11" s="10"/>
      <c r="I11" s="75"/>
      <c r="J11" s="10"/>
      <c r="K11" s="75"/>
    </row>
    <row r="12" spans="1:11" ht="47.25" x14ac:dyDescent="0.2">
      <c r="A12" s="71" t="s">
        <v>5</v>
      </c>
      <c r="B12" s="9" t="s">
        <v>49</v>
      </c>
      <c r="C12" s="72"/>
      <c r="D12" s="72"/>
      <c r="E12" s="72"/>
      <c r="F12" s="71"/>
      <c r="G12" s="74"/>
      <c r="H12" s="71"/>
      <c r="I12" s="74"/>
      <c r="J12" s="71"/>
      <c r="K12" s="74"/>
    </row>
    <row r="13" spans="1:11" ht="47.25" x14ac:dyDescent="0.2">
      <c r="A13" s="10">
        <v>1</v>
      </c>
      <c r="B13" s="8" t="s">
        <v>50</v>
      </c>
      <c r="C13" s="73" t="s">
        <v>51</v>
      </c>
      <c r="D13" s="73"/>
      <c r="E13" s="73"/>
      <c r="F13" s="10"/>
      <c r="G13" s="75"/>
      <c r="H13" s="10"/>
      <c r="I13" s="75"/>
      <c r="J13" s="10"/>
      <c r="K13" s="75"/>
    </row>
    <row r="14" spans="1:11" ht="31.5" x14ac:dyDescent="0.2">
      <c r="A14" s="11" t="s">
        <v>23</v>
      </c>
      <c r="B14" s="7" t="s">
        <v>8</v>
      </c>
      <c r="C14" s="10"/>
      <c r="D14" s="72" t="s">
        <v>77</v>
      </c>
      <c r="E14" s="119">
        <f>1000000/1000000</f>
        <v>1</v>
      </c>
      <c r="F14" s="72" t="s">
        <v>77</v>
      </c>
      <c r="G14" s="119">
        <f>1000000/1000000</f>
        <v>1</v>
      </c>
      <c r="H14" s="72" t="s">
        <v>77</v>
      </c>
      <c r="I14" s="119">
        <f>1000000/1000000</f>
        <v>1</v>
      </c>
      <c r="J14" s="72" t="s">
        <v>77</v>
      </c>
      <c r="K14" s="119">
        <f>1000000/1000000</f>
        <v>1</v>
      </c>
    </row>
    <row r="15" spans="1:11" ht="31.5" x14ac:dyDescent="0.2">
      <c r="A15" s="11" t="s">
        <v>23</v>
      </c>
      <c r="B15" s="7" t="s">
        <v>9</v>
      </c>
      <c r="C15" s="10"/>
      <c r="D15" s="72" t="s">
        <v>78</v>
      </c>
      <c r="E15" s="119">
        <f>800000/1000000</f>
        <v>0.8</v>
      </c>
      <c r="F15" s="72" t="s">
        <v>78</v>
      </c>
      <c r="G15" s="119">
        <f>800000/1000000</f>
        <v>0.8</v>
      </c>
      <c r="H15" s="72" t="s">
        <v>80</v>
      </c>
      <c r="I15" s="119">
        <f>600000/1000000</f>
        <v>0.6</v>
      </c>
      <c r="J15" s="72" t="s">
        <v>80</v>
      </c>
      <c r="K15" s="119">
        <f>600000/1000000</f>
        <v>0.6</v>
      </c>
    </row>
    <row r="16" spans="1:11" ht="31.5" x14ac:dyDescent="0.2">
      <c r="A16" s="11" t="s">
        <v>23</v>
      </c>
      <c r="B16" s="7" t="s">
        <v>44</v>
      </c>
      <c r="C16" s="10"/>
      <c r="D16" s="72" t="s">
        <v>79</v>
      </c>
      <c r="E16" s="119">
        <f>500000/1000000</f>
        <v>0.5</v>
      </c>
      <c r="F16" s="72" t="s">
        <v>80</v>
      </c>
      <c r="G16" s="119">
        <f>600000/1000000</f>
        <v>0.6</v>
      </c>
      <c r="H16" s="72" t="s">
        <v>81</v>
      </c>
      <c r="I16" s="119">
        <f>400000/1000000</f>
        <v>0.4</v>
      </c>
      <c r="J16" s="72" t="s">
        <v>79</v>
      </c>
      <c r="K16" s="119">
        <f>500000/1000000</f>
        <v>0.5</v>
      </c>
    </row>
    <row r="17" spans="1:11" ht="31.5" x14ac:dyDescent="0.2">
      <c r="A17" s="10">
        <v>2</v>
      </c>
      <c r="B17" s="8" t="s">
        <v>53</v>
      </c>
      <c r="C17" s="72" t="s">
        <v>59</v>
      </c>
      <c r="D17" s="10"/>
      <c r="E17" s="119"/>
      <c r="F17" s="10"/>
      <c r="G17" s="75"/>
      <c r="H17" s="10"/>
      <c r="I17" s="75"/>
      <c r="J17" s="10"/>
      <c r="K17" s="75"/>
    </row>
    <row r="18" spans="1:11" ht="31.5" x14ac:dyDescent="0.2">
      <c r="A18" s="11" t="s">
        <v>23</v>
      </c>
      <c r="B18" s="7" t="s">
        <v>8</v>
      </c>
      <c r="C18" s="12"/>
      <c r="D18" s="72" t="s">
        <v>82</v>
      </c>
      <c r="E18" s="119">
        <f>5000000/5000000</f>
        <v>1</v>
      </c>
      <c r="F18" s="72" t="s">
        <v>82</v>
      </c>
      <c r="G18" s="119">
        <f>5000000/5000000</f>
        <v>1</v>
      </c>
      <c r="H18" s="72" t="s">
        <v>86</v>
      </c>
      <c r="I18" s="119">
        <f>2500000/5000000</f>
        <v>0.5</v>
      </c>
      <c r="J18" s="72" t="s">
        <v>71</v>
      </c>
      <c r="K18" s="122" t="s">
        <v>129</v>
      </c>
    </row>
    <row r="19" spans="1:11" ht="31.5" x14ac:dyDescent="0.2">
      <c r="A19" s="11" t="s">
        <v>23</v>
      </c>
      <c r="B19" s="7" t="s">
        <v>9</v>
      </c>
      <c r="C19" s="12"/>
      <c r="D19" s="72" t="s">
        <v>83</v>
      </c>
      <c r="E19" s="119">
        <f>3000000/5000000</f>
        <v>0.6</v>
      </c>
      <c r="F19" s="72" t="s">
        <v>85</v>
      </c>
      <c r="G19" s="119">
        <f>4000000/5000000</f>
        <v>0.8</v>
      </c>
      <c r="H19" s="72" t="s">
        <v>87</v>
      </c>
      <c r="I19" s="119">
        <f>1300000/5000000</f>
        <v>0.26</v>
      </c>
      <c r="J19" s="72" t="s">
        <v>72</v>
      </c>
      <c r="K19" s="122" t="s">
        <v>128</v>
      </c>
    </row>
    <row r="20" spans="1:11" ht="31.5" x14ac:dyDescent="0.2">
      <c r="A20" s="11" t="s">
        <v>23</v>
      </c>
      <c r="B20" s="7" t="s">
        <v>44</v>
      </c>
      <c r="C20" s="12"/>
      <c r="D20" s="72" t="s">
        <v>84</v>
      </c>
      <c r="E20" s="119">
        <f>2000000/5000000</f>
        <v>0.4</v>
      </c>
      <c r="F20" s="72" t="s">
        <v>83</v>
      </c>
      <c r="G20" s="119">
        <f>3000000/5000000</f>
        <v>0.6</v>
      </c>
      <c r="H20" s="72" t="s">
        <v>88</v>
      </c>
      <c r="I20" s="119">
        <f>1000000/5000000</f>
        <v>0.2</v>
      </c>
      <c r="J20" s="72" t="s">
        <v>73</v>
      </c>
      <c r="K20" s="122" t="s">
        <v>127</v>
      </c>
    </row>
    <row r="21" spans="1:11" ht="31.5" x14ac:dyDescent="0.2">
      <c r="A21" s="10">
        <v>3</v>
      </c>
      <c r="B21" s="8" t="s">
        <v>54</v>
      </c>
      <c r="C21" s="12" t="s">
        <v>58</v>
      </c>
      <c r="D21" s="12"/>
      <c r="E21" s="12"/>
      <c r="F21" s="12"/>
      <c r="G21" s="75"/>
      <c r="H21" s="12"/>
      <c r="I21" s="75"/>
      <c r="J21" s="12"/>
      <c r="K21" s="75"/>
    </row>
    <row r="22" spans="1:11" ht="18" x14ac:dyDescent="0.15">
      <c r="A22" s="11" t="s">
        <v>23</v>
      </c>
      <c r="B22" s="7" t="s">
        <v>8</v>
      </c>
      <c r="C22" s="12"/>
      <c r="D22" s="12" t="s">
        <v>89</v>
      </c>
      <c r="E22" s="119">
        <f>4000000/4000000</f>
        <v>1</v>
      </c>
      <c r="F22" s="12" t="s">
        <v>89</v>
      </c>
      <c r="G22" s="119">
        <f>4000000/4000000</f>
        <v>1</v>
      </c>
      <c r="H22" s="12" t="s">
        <v>90</v>
      </c>
      <c r="I22" s="119">
        <f>2000000/4000000</f>
        <v>0.5</v>
      </c>
      <c r="J22" s="12" t="s">
        <v>94</v>
      </c>
      <c r="K22" s="119">
        <f>3500000/4000000</f>
        <v>0.875</v>
      </c>
    </row>
    <row r="23" spans="1:11" ht="18" x14ac:dyDescent="0.15">
      <c r="A23" s="11" t="s">
        <v>23</v>
      </c>
      <c r="B23" s="7" t="s">
        <v>9</v>
      </c>
      <c r="C23" s="12"/>
      <c r="D23" s="12" t="s">
        <v>90</v>
      </c>
      <c r="E23" s="119">
        <f>2000000/4000000</f>
        <v>0.5</v>
      </c>
      <c r="F23" s="12" t="s">
        <v>92</v>
      </c>
      <c r="G23" s="119">
        <f>3200000/4000000</f>
        <v>0.8</v>
      </c>
      <c r="H23" s="12" t="s">
        <v>74</v>
      </c>
      <c r="I23" s="119">
        <f>1000000/4000000</f>
        <v>0.25</v>
      </c>
      <c r="J23" s="12" t="s">
        <v>95</v>
      </c>
      <c r="K23" s="119">
        <f>2500000/4000000</f>
        <v>0.625</v>
      </c>
    </row>
    <row r="24" spans="1:11" ht="18" x14ac:dyDescent="0.15">
      <c r="A24" s="11" t="s">
        <v>23</v>
      </c>
      <c r="B24" s="7" t="s">
        <v>44</v>
      </c>
      <c r="C24" s="12"/>
      <c r="D24" s="12" t="s">
        <v>91</v>
      </c>
      <c r="E24" s="119">
        <f>1500000/4000000</f>
        <v>0.375</v>
      </c>
      <c r="F24" s="12" t="s">
        <v>93</v>
      </c>
      <c r="G24" s="119">
        <f>2400000/4000000</f>
        <v>0.6</v>
      </c>
      <c r="H24" s="12" t="s">
        <v>76</v>
      </c>
      <c r="I24" s="119">
        <f>800000/4000000</f>
        <v>0.2</v>
      </c>
      <c r="J24" s="12" t="s">
        <v>90</v>
      </c>
      <c r="K24" s="119">
        <f>2000000/4000000</f>
        <v>0.5</v>
      </c>
    </row>
    <row r="25" spans="1:11" ht="18" x14ac:dyDescent="0.2">
      <c r="A25" s="71" t="s">
        <v>15</v>
      </c>
      <c r="B25" s="6" t="s">
        <v>14</v>
      </c>
      <c r="C25" s="71"/>
      <c r="D25" s="71"/>
      <c r="E25" s="71"/>
      <c r="F25" s="71"/>
      <c r="G25" s="74"/>
      <c r="H25" s="71"/>
      <c r="I25" s="74"/>
      <c r="J25" s="71"/>
      <c r="K25" s="74"/>
    </row>
    <row r="26" spans="1:11" ht="202.5" x14ac:dyDescent="0.2">
      <c r="A26" s="10">
        <v>1</v>
      </c>
      <c r="B26" s="8" t="s">
        <v>55</v>
      </c>
      <c r="C26" s="10" t="s">
        <v>63</v>
      </c>
      <c r="D26" s="10"/>
      <c r="E26" s="10"/>
      <c r="F26" s="10" t="s">
        <v>63</v>
      </c>
      <c r="G26" s="75"/>
      <c r="H26" s="10" t="s">
        <v>63</v>
      </c>
      <c r="I26" s="75"/>
      <c r="J26" s="10" t="s">
        <v>63</v>
      </c>
      <c r="K26" s="75"/>
    </row>
    <row r="27" spans="1:11" ht="18" x14ac:dyDescent="0.15">
      <c r="A27" s="10"/>
      <c r="B27" s="7" t="s">
        <v>8</v>
      </c>
      <c r="C27" s="8"/>
      <c r="D27" s="10" t="s">
        <v>60</v>
      </c>
      <c r="E27" s="8"/>
      <c r="F27" s="10"/>
      <c r="G27" s="75"/>
      <c r="H27" s="10"/>
      <c r="I27" s="75"/>
      <c r="J27" s="10"/>
      <c r="K27" s="75"/>
    </row>
    <row r="28" spans="1:11" ht="18" x14ac:dyDescent="0.15">
      <c r="A28" s="10"/>
      <c r="B28" s="7" t="s">
        <v>9</v>
      </c>
      <c r="C28" s="8"/>
      <c r="D28" s="10" t="s">
        <v>62</v>
      </c>
      <c r="E28" s="8"/>
      <c r="F28" s="10"/>
      <c r="G28" s="75"/>
      <c r="H28" s="10"/>
      <c r="I28" s="75"/>
      <c r="J28" s="10"/>
      <c r="K28" s="75"/>
    </row>
    <row r="29" spans="1:11" ht="18" x14ac:dyDescent="0.15">
      <c r="A29" s="10"/>
      <c r="B29" s="7" t="s">
        <v>44</v>
      </c>
      <c r="C29" s="8"/>
      <c r="D29" s="10" t="s">
        <v>61</v>
      </c>
      <c r="E29" s="8"/>
      <c r="F29" s="10"/>
      <c r="G29" s="75"/>
      <c r="H29" s="10"/>
      <c r="I29" s="75"/>
      <c r="J29" s="10"/>
      <c r="K29" s="75"/>
    </row>
    <row r="30" spans="1:11" ht="47.25" x14ac:dyDescent="0.2">
      <c r="A30" s="10">
        <v>2</v>
      </c>
      <c r="B30" s="8" t="s">
        <v>56</v>
      </c>
      <c r="C30" s="10" t="s">
        <v>63</v>
      </c>
      <c r="D30" s="73" t="s">
        <v>57</v>
      </c>
      <c r="E30" s="10"/>
      <c r="F30" s="10" t="s">
        <v>63</v>
      </c>
      <c r="G30" s="75"/>
      <c r="H30" s="10" t="s">
        <v>63</v>
      </c>
      <c r="I30" s="75"/>
      <c r="J30" s="10" t="s">
        <v>63</v>
      </c>
      <c r="K30" s="75"/>
    </row>
  </sheetData>
  <mergeCells count="4">
    <mergeCell ref="A2:K2"/>
    <mergeCell ref="A1:K1"/>
    <mergeCell ref="A3:K3"/>
    <mergeCell ref="A4:K4"/>
  </mergeCells>
  <pageMargins left="0.6" right="0.21" top="0.75" bottom="0.75" header="0.3" footer="0.3"/>
  <pageSetup paperSize="9" scale="80" orientation="landscape" r:id="rId1"/>
  <headerFooter differentFirst="1">
    <oddHeader>&amp;C&amp;"Times New Roman,Regular"&amp;P</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73"/>
  <sheetViews>
    <sheetView workbookViewId="0">
      <selection activeCell="E10" sqref="E10"/>
    </sheetView>
  </sheetViews>
  <sheetFormatPr defaultColWidth="9.19140625" defaultRowHeight="18.75" x14ac:dyDescent="0.25"/>
  <cols>
    <col min="1" max="1" width="4.2890625" style="83" bestFit="1" customWidth="1"/>
    <col min="2" max="2" width="40.33203125" style="1" customWidth="1"/>
    <col min="3" max="3" width="37.14453125" style="83" bestFit="1" customWidth="1"/>
    <col min="4" max="4" width="4.2890625" style="83" bestFit="1" customWidth="1"/>
    <col min="5" max="5" width="40.33203125" style="83" customWidth="1"/>
    <col min="6" max="6" width="33.7109375" style="83" bestFit="1" customWidth="1"/>
    <col min="7" max="7" width="35.671875" style="83" bestFit="1" customWidth="1"/>
    <col min="8" max="8" width="9.4375" style="83" bestFit="1" customWidth="1"/>
    <col min="9" max="9" width="9.4375" style="1" bestFit="1" customWidth="1"/>
    <col min="10" max="11" width="9.19140625" style="1"/>
    <col min="12" max="12" width="16.42578125" style="1" bestFit="1" customWidth="1"/>
    <col min="13" max="16384" width="9.19140625" style="1"/>
  </cols>
  <sheetData>
    <row r="1" spans="1:9" ht="18" x14ac:dyDescent="0.2">
      <c r="A1" s="131" t="s">
        <v>137</v>
      </c>
      <c r="B1" s="131"/>
      <c r="C1" s="131"/>
      <c r="D1" s="131"/>
      <c r="E1" s="131"/>
      <c r="F1" s="131"/>
      <c r="G1" s="131"/>
      <c r="H1" s="131"/>
      <c r="I1" s="131"/>
    </row>
    <row r="2" spans="1:9" ht="68.25" customHeight="1" x14ac:dyDescent="0.2">
      <c r="A2" s="133" t="s">
        <v>138</v>
      </c>
      <c r="B2" s="133"/>
      <c r="C2" s="133"/>
      <c r="D2" s="133"/>
      <c r="E2" s="133"/>
      <c r="F2" s="133"/>
      <c r="G2" s="133"/>
      <c r="H2" s="133"/>
      <c r="I2" s="133"/>
    </row>
    <row r="3" spans="1:9" ht="26.25" customHeight="1" x14ac:dyDescent="0.2">
      <c r="A3" s="142" t="s">
        <v>140</v>
      </c>
      <c r="B3" s="142"/>
      <c r="C3" s="142"/>
      <c r="D3" s="142"/>
      <c r="E3" s="142"/>
      <c r="F3" s="142"/>
      <c r="G3" s="142"/>
      <c r="H3" s="142"/>
      <c r="I3" s="142"/>
    </row>
    <row r="4" spans="1:9" ht="26.25" customHeight="1" x14ac:dyDescent="0.2">
      <c r="A4" s="136"/>
      <c r="B4" s="136"/>
      <c r="C4" s="136"/>
      <c r="D4" s="136"/>
      <c r="E4" s="136"/>
      <c r="F4" s="136"/>
      <c r="G4" s="136"/>
      <c r="H4" s="136"/>
      <c r="I4" s="136"/>
    </row>
    <row r="6" spans="1:9" s="4" customFormat="1" ht="37.5" customHeight="1" x14ac:dyDescent="0.2">
      <c r="A6" s="141" t="s">
        <v>120</v>
      </c>
      <c r="B6" s="141" t="s">
        <v>19</v>
      </c>
      <c r="C6" s="141"/>
      <c r="D6" s="141" t="s">
        <v>120</v>
      </c>
      <c r="E6" s="141" t="s">
        <v>47</v>
      </c>
      <c r="F6" s="82" t="s">
        <v>42</v>
      </c>
      <c r="G6" s="81" t="s">
        <v>43</v>
      </c>
      <c r="H6" s="140" t="s">
        <v>20</v>
      </c>
      <c r="I6" s="140"/>
    </row>
    <row r="7" spans="1:9" s="4" customFormat="1" ht="18" x14ac:dyDescent="0.2">
      <c r="A7" s="140"/>
      <c r="B7" s="81" t="s">
        <v>0</v>
      </c>
      <c r="C7" s="82" t="s">
        <v>11</v>
      </c>
      <c r="D7" s="140"/>
      <c r="E7" s="141"/>
      <c r="F7" s="82" t="s">
        <v>11</v>
      </c>
      <c r="G7" s="81" t="s">
        <v>11</v>
      </c>
      <c r="H7" s="140"/>
      <c r="I7" s="140"/>
    </row>
    <row r="8" spans="1:9" s="77" customFormat="1" ht="18" x14ac:dyDescent="0.15">
      <c r="A8" s="84" t="s">
        <v>27</v>
      </c>
      <c r="B8" s="84" t="s">
        <v>28</v>
      </c>
      <c r="C8" s="89" t="s">
        <v>96</v>
      </c>
      <c r="D8" s="84">
        <v>1</v>
      </c>
      <c r="E8" s="89">
        <v>2</v>
      </c>
      <c r="F8" s="89">
        <v>3</v>
      </c>
      <c r="G8" s="84">
        <v>4</v>
      </c>
      <c r="H8" s="84" t="s">
        <v>66</v>
      </c>
      <c r="I8" s="84" t="s">
        <v>100</v>
      </c>
    </row>
    <row r="9" spans="1:9" s="77" customFormat="1" ht="18" x14ac:dyDescent="0.15">
      <c r="A9" s="85" t="s">
        <v>27</v>
      </c>
      <c r="B9" s="85" t="s">
        <v>97</v>
      </c>
      <c r="C9" s="14"/>
      <c r="D9" s="85"/>
      <c r="E9" s="14"/>
      <c r="F9" s="14"/>
      <c r="G9" s="85"/>
      <c r="H9" s="85"/>
      <c r="I9" s="17"/>
    </row>
    <row r="10" spans="1:9" s="4" customFormat="1" ht="47.25" x14ac:dyDescent="0.2">
      <c r="A10" s="85" t="s">
        <v>2</v>
      </c>
      <c r="B10" s="28" t="s">
        <v>65</v>
      </c>
      <c r="C10" s="17" t="s">
        <v>105</v>
      </c>
      <c r="D10" s="85" t="s">
        <v>2</v>
      </c>
      <c r="E10" s="28" t="s">
        <v>48</v>
      </c>
      <c r="F10" s="17" t="s">
        <v>74</v>
      </c>
      <c r="G10" s="17"/>
      <c r="H10" s="90"/>
      <c r="I10" s="19"/>
    </row>
    <row r="11" spans="1:9" s="4" customFormat="1" ht="18" customHeight="1" x14ac:dyDescent="0.15">
      <c r="A11" s="21" t="s">
        <v>23</v>
      </c>
      <c r="B11" s="19" t="s">
        <v>8</v>
      </c>
      <c r="C11" s="17"/>
      <c r="D11" s="21" t="s">
        <v>23</v>
      </c>
      <c r="E11" s="19" t="s">
        <v>8</v>
      </c>
      <c r="F11" s="17"/>
      <c r="G11" s="17" t="s">
        <v>74</v>
      </c>
      <c r="H11" s="118">
        <f>1000000/1000000</f>
        <v>1</v>
      </c>
      <c r="I11" s="118">
        <f>1000000/500000</f>
        <v>2</v>
      </c>
    </row>
    <row r="12" spans="1:9" s="4" customFormat="1" ht="18" x14ac:dyDescent="0.15">
      <c r="A12" s="21" t="s">
        <v>23</v>
      </c>
      <c r="B12" s="19" t="s">
        <v>9</v>
      </c>
      <c r="C12" s="17"/>
      <c r="D12" s="21" t="s">
        <v>23</v>
      </c>
      <c r="E12" s="19" t="s">
        <v>9</v>
      </c>
      <c r="F12" s="17"/>
      <c r="G12" s="17" t="s">
        <v>76</v>
      </c>
      <c r="H12" s="118">
        <f>800000/1000000</f>
        <v>0.8</v>
      </c>
      <c r="I12" s="118">
        <f>800000/500000</f>
        <v>1.6</v>
      </c>
    </row>
    <row r="13" spans="1:9" s="4" customFormat="1" ht="18" x14ac:dyDescent="0.15">
      <c r="A13" s="21" t="s">
        <v>23</v>
      </c>
      <c r="B13" s="19" t="s">
        <v>44</v>
      </c>
      <c r="C13" s="17"/>
      <c r="D13" s="21" t="s">
        <v>23</v>
      </c>
      <c r="E13" s="19" t="s">
        <v>44</v>
      </c>
      <c r="F13" s="17"/>
      <c r="G13" s="17" t="s">
        <v>75</v>
      </c>
      <c r="H13" s="118">
        <f>600000/1000000</f>
        <v>0.6</v>
      </c>
      <c r="I13" s="118">
        <f>600000/500000</f>
        <v>1.2</v>
      </c>
    </row>
    <row r="14" spans="1:9" s="5" customFormat="1" ht="47.25" x14ac:dyDescent="0.2">
      <c r="A14" s="85" t="s">
        <v>5</v>
      </c>
      <c r="B14" s="28" t="s">
        <v>52</v>
      </c>
      <c r="C14" s="85"/>
      <c r="D14" s="85" t="s">
        <v>5</v>
      </c>
      <c r="E14" s="28" t="s">
        <v>49</v>
      </c>
      <c r="F14" s="92"/>
      <c r="G14" s="85"/>
      <c r="H14" s="91"/>
      <c r="I14" s="90"/>
    </row>
    <row r="15" spans="1:9" s="5" customFormat="1" ht="47.25" x14ac:dyDescent="0.2">
      <c r="A15" s="17">
        <v>1</v>
      </c>
      <c r="B15" s="18" t="s">
        <v>64</v>
      </c>
      <c r="C15" s="92" t="s">
        <v>106</v>
      </c>
      <c r="D15" s="17">
        <v>1</v>
      </c>
      <c r="E15" s="18" t="s">
        <v>50</v>
      </c>
      <c r="F15" s="92" t="s">
        <v>51</v>
      </c>
      <c r="G15" s="17"/>
      <c r="H15" s="90"/>
      <c r="I15" s="90"/>
    </row>
    <row r="16" spans="1:9" s="5" customFormat="1" ht="31.5" x14ac:dyDescent="0.2">
      <c r="A16" s="21" t="s">
        <v>23</v>
      </c>
      <c r="B16" s="19" t="s">
        <v>8</v>
      </c>
      <c r="C16" s="17"/>
      <c r="D16" s="21" t="s">
        <v>23</v>
      </c>
      <c r="E16" s="19" t="s">
        <v>8</v>
      </c>
      <c r="F16" s="17"/>
      <c r="G16" s="92" t="s">
        <v>77</v>
      </c>
      <c r="H16" s="118">
        <f>1000000/1000000</f>
        <v>1</v>
      </c>
      <c r="I16" s="118">
        <f>3000000/1000000</f>
        <v>3</v>
      </c>
    </row>
    <row r="17" spans="1:9" s="5" customFormat="1" ht="31.5" x14ac:dyDescent="0.2">
      <c r="A17" s="21" t="s">
        <v>23</v>
      </c>
      <c r="B17" s="19" t="s">
        <v>9</v>
      </c>
      <c r="C17" s="17"/>
      <c r="D17" s="21" t="s">
        <v>23</v>
      </c>
      <c r="E17" s="19" t="s">
        <v>9</v>
      </c>
      <c r="F17" s="17"/>
      <c r="G17" s="92" t="s">
        <v>78</v>
      </c>
      <c r="H17" s="118">
        <f>800000/1000000</f>
        <v>0.8</v>
      </c>
      <c r="I17" s="118">
        <f>2400000/1000000</f>
        <v>2.4</v>
      </c>
    </row>
    <row r="18" spans="1:9" s="5" customFormat="1" ht="31.5" x14ac:dyDescent="0.2">
      <c r="A18" s="21" t="s">
        <v>23</v>
      </c>
      <c r="B18" s="19" t="s">
        <v>44</v>
      </c>
      <c r="C18" s="17"/>
      <c r="D18" s="21" t="s">
        <v>23</v>
      </c>
      <c r="E18" s="19" t="s">
        <v>44</v>
      </c>
      <c r="F18" s="17"/>
      <c r="G18" s="92" t="s">
        <v>79</v>
      </c>
      <c r="H18" s="118">
        <f>500000/1000000</f>
        <v>0.5</v>
      </c>
      <c r="I18" s="118">
        <f>1500000/1000000</f>
        <v>1.5</v>
      </c>
    </row>
    <row r="19" spans="1:9" s="4" customFormat="1" ht="31.5" x14ac:dyDescent="0.2">
      <c r="A19" s="17">
        <v>2</v>
      </c>
      <c r="B19" s="19" t="s">
        <v>7</v>
      </c>
      <c r="C19" s="17"/>
      <c r="D19" s="17">
        <v>2</v>
      </c>
      <c r="E19" s="18" t="s">
        <v>53</v>
      </c>
      <c r="F19" s="92" t="s">
        <v>59</v>
      </c>
      <c r="G19" s="17"/>
      <c r="H19" s="90"/>
      <c r="I19" s="90"/>
    </row>
    <row r="20" spans="1:9" s="4" customFormat="1" ht="18" x14ac:dyDescent="0.2">
      <c r="A20" s="21" t="s">
        <v>23</v>
      </c>
      <c r="B20" s="19" t="s">
        <v>8</v>
      </c>
      <c r="C20" s="92" t="s">
        <v>107</v>
      </c>
      <c r="D20" s="21" t="s">
        <v>23</v>
      </c>
      <c r="E20" s="19" t="s">
        <v>8</v>
      </c>
      <c r="F20" s="17"/>
      <c r="G20" s="92" t="s">
        <v>82</v>
      </c>
      <c r="H20" s="118">
        <f>5000000/5000000</f>
        <v>1</v>
      </c>
      <c r="I20" s="118">
        <f>5000000/1500000</f>
        <v>3.3333333333333335</v>
      </c>
    </row>
    <row r="21" spans="1:9" s="4" customFormat="1" ht="18" x14ac:dyDescent="0.2">
      <c r="A21" s="21" t="s">
        <v>23</v>
      </c>
      <c r="B21" s="19" t="s">
        <v>9</v>
      </c>
      <c r="C21" s="92" t="s">
        <v>108</v>
      </c>
      <c r="D21" s="21" t="s">
        <v>23</v>
      </c>
      <c r="E21" s="19" t="s">
        <v>9</v>
      </c>
      <c r="F21" s="17"/>
      <c r="G21" s="92" t="s">
        <v>83</v>
      </c>
      <c r="H21" s="118">
        <f>3000000/5000000</f>
        <v>0.6</v>
      </c>
      <c r="I21" s="118">
        <f>3000000/1500000</f>
        <v>2</v>
      </c>
    </row>
    <row r="22" spans="1:9" s="4" customFormat="1" ht="18" x14ac:dyDescent="0.2">
      <c r="A22" s="21" t="s">
        <v>23</v>
      </c>
      <c r="B22" s="19" t="s">
        <v>44</v>
      </c>
      <c r="C22" s="17"/>
      <c r="D22" s="21" t="s">
        <v>23</v>
      </c>
      <c r="E22" s="19" t="s">
        <v>44</v>
      </c>
      <c r="F22" s="17"/>
      <c r="G22" s="92" t="s">
        <v>84</v>
      </c>
      <c r="H22" s="118">
        <f>2000000/5000000</f>
        <v>0.4</v>
      </c>
      <c r="I22" s="118">
        <f>2000000/1500000</f>
        <v>1.3333333333333333</v>
      </c>
    </row>
    <row r="23" spans="1:9" s="4" customFormat="1" ht="31.5" x14ac:dyDescent="0.2">
      <c r="A23" s="17">
        <v>3</v>
      </c>
      <c r="B23" s="19" t="s">
        <v>6</v>
      </c>
      <c r="C23" s="17"/>
      <c r="D23" s="17">
        <v>3</v>
      </c>
      <c r="E23" s="18" t="s">
        <v>54</v>
      </c>
      <c r="F23" s="17" t="s">
        <v>58</v>
      </c>
      <c r="G23" s="17"/>
      <c r="H23" s="118"/>
      <c r="I23" s="118"/>
    </row>
    <row r="24" spans="1:9" s="4" customFormat="1" ht="18" x14ac:dyDescent="0.15">
      <c r="A24" s="21" t="s">
        <v>23</v>
      </c>
      <c r="B24" s="19" t="s">
        <v>8</v>
      </c>
      <c r="C24" s="17" t="s">
        <v>109</v>
      </c>
      <c r="D24" s="21" t="s">
        <v>23</v>
      </c>
      <c r="E24" s="19" t="s">
        <v>8</v>
      </c>
      <c r="F24" s="17"/>
      <c r="G24" s="17" t="s">
        <v>89</v>
      </c>
      <c r="H24" s="118">
        <f>4000000/4000000</f>
        <v>1</v>
      </c>
      <c r="I24" s="118">
        <f>4000000/1000000</f>
        <v>4</v>
      </c>
    </row>
    <row r="25" spans="1:9" s="4" customFormat="1" ht="18" x14ac:dyDescent="0.15">
      <c r="A25" s="21" t="s">
        <v>23</v>
      </c>
      <c r="B25" s="19" t="s">
        <v>9</v>
      </c>
      <c r="C25" s="17" t="s">
        <v>110</v>
      </c>
      <c r="D25" s="21" t="s">
        <v>23</v>
      </c>
      <c r="E25" s="19" t="s">
        <v>9</v>
      </c>
      <c r="F25" s="17"/>
      <c r="G25" s="17" t="s">
        <v>90</v>
      </c>
      <c r="H25" s="118">
        <f>2000000/4000000</f>
        <v>0.5</v>
      </c>
      <c r="I25" s="118">
        <f>2000000/500000</f>
        <v>4</v>
      </c>
    </row>
    <row r="26" spans="1:9" s="4" customFormat="1" ht="18" x14ac:dyDescent="0.15">
      <c r="A26" s="21" t="s">
        <v>23</v>
      </c>
      <c r="B26" s="19" t="s">
        <v>44</v>
      </c>
      <c r="C26" s="17"/>
      <c r="D26" s="21" t="s">
        <v>23</v>
      </c>
      <c r="E26" s="19" t="s">
        <v>44</v>
      </c>
      <c r="F26" s="17"/>
      <c r="G26" s="17" t="s">
        <v>91</v>
      </c>
      <c r="H26" s="118">
        <f>1500000/5000000</f>
        <v>0.3</v>
      </c>
      <c r="I26" s="118">
        <f>1500000/500000</f>
        <v>3</v>
      </c>
    </row>
    <row r="27" spans="1:9" s="4" customFormat="1" ht="31.5" x14ac:dyDescent="0.2">
      <c r="A27" s="17">
        <v>4</v>
      </c>
      <c r="B27" s="18" t="s">
        <v>10</v>
      </c>
      <c r="C27" s="17"/>
      <c r="D27" s="17"/>
      <c r="E27" s="18" t="s">
        <v>10</v>
      </c>
      <c r="F27" s="17" t="s">
        <v>63</v>
      </c>
      <c r="G27" s="17"/>
      <c r="H27" s="90"/>
      <c r="I27" s="90"/>
    </row>
    <row r="28" spans="1:9" s="4" customFormat="1" ht="18" x14ac:dyDescent="0.2">
      <c r="A28" s="21" t="s">
        <v>23</v>
      </c>
      <c r="B28" s="19" t="s">
        <v>8</v>
      </c>
      <c r="C28" s="92" t="s">
        <v>111</v>
      </c>
      <c r="D28" s="21"/>
      <c r="E28" s="92"/>
      <c r="F28" s="17"/>
      <c r="G28" s="17"/>
      <c r="H28" s="90"/>
      <c r="I28" s="90"/>
    </row>
    <row r="29" spans="1:9" s="4" customFormat="1" ht="18" x14ac:dyDescent="0.2">
      <c r="A29" s="21" t="s">
        <v>23</v>
      </c>
      <c r="B29" s="19" t="s">
        <v>9</v>
      </c>
      <c r="C29" s="92" t="s">
        <v>112</v>
      </c>
      <c r="D29" s="21"/>
      <c r="E29" s="92"/>
      <c r="F29" s="17"/>
      <c r="G29" s="17"/>
      <c r="H29" s="90"/>
      <c r="I29" s="90"/>
    </row>
    <row r="30" spans="1:9" s="4" customFormat="1" ht="18" x14ac:dyDescent="0.15">
      <c r="A30" s="21" t="s">
        <v>23</v>
      </c>
      <c r="B30" s="19" t="s">
        <v>44</v>
      </c>
      <c r="C30" s="17"/>
      <c r="D30" s="21"/>
      <c r="E30" s="17"/>
      <c r="F30" s="17"/>
      <c r="G30" s="17"/>
      <c r="H30" s="90"/>
      <c r="I30" s="90"/>
    </row>
    <row r="31" spans="1:9" s="5" customFormat="1" ht="18" x14ac:dyDescent="0.2">
      <c r="A31" s="85" t="s">
        <v>15</v>
      </c>
      <c r="B31" s="28" t="s">
        <v>14</v>
      </c>
      <c r="C31" s="85"/>
      <c r="D31" s="85" t="s">
        <v>15</v>
      </c>
      <c r="E31" s="28" t="s">
        <v>14</v>
      </c>
      <c r="F31" s="85"/>
      <c r="G31" s="85"/>
      <c r="H31" s="91"/>
      <c r="I31" s="90"/>
    </row>
    <row r="32" spans="1:9" s="4" customFormat="1" ht="93.75" x14ac:dyDescent="0.2">
      <c r="A32" s="17">
        <v>1</v>
      </c>
      <c r="B32" s="18" t="s">
        <v>16</v>
      </c>
      <c r="C32" s="92" t="s">
        <v>113</v>
      </c>
      <c r="D32" s="17">
        <v>1</v>
      </c>
      <c r="E32" s="18" t="s">
        <v>99</v>
      </c>
      <c r="F32" s="17" t="s">
        <v>63</v>
      </c>
      <c r="G32" s="17"/>
      <c r="H32" s="90"/>
      <c r="I32" s="90"/>
    </row>
    <row r="33" spans="1:9" s="4" customFormat="1" ht="18" x14ac:dyDescent="0.15">
      <c r="A33" s="17"/>
      <c r="B33" s="18"/>
      <c r="C33" s="92"/>
      <c r="D33" s="21" t="s">
        <v>23</v>
      </c>
      <c r="E33" s="19" t="s">
        <v>8</v>
      </c>
      <c r="F33" s="18"/>
      <c r="G33" s="17" t="s">
        <v>114</v>
      </c>
      <c r="H33" s="90"/>
      <c r="I33" s="118">
        <f>2000000/500000</f>
        <v>4</v>
      </c>
    </row>
    <row r="34" spans="1:9" s="4" customFormat="1" ht="18" x14ac:dyDescent="0.15">
      <c r="A34" s="17"/>
      <c r="B34" s="18"/>
      <c r="C34" s="92"/>
      <c r="D34" s="21" t="s">
        <v>23</v>
      </c>
      <c r="E34" s="19" t="s">
        <v>9</v>
      </c>
      <c r="F34" s="18"/>
      <c r="G34" s="17" t="s">
        <v>115</v>
      </c>
      <c r="H34" s="90"/>
      <c r="I34" s="118">
        <f>1500000/500000</f>
        <v>3</v>
      </c>
    </row>
    <row r="35" spans="1:9" s="4" customFormat="1" ht="18" x14ac:dyDescent="0.15">
      <c r="A35" s="17"/>
      <c r="B35" s="18"/>
      <c r="C35" s="92"/>
      <c r="D35" s="21" t="s">
        <v>23</v>
      </c>
      <c r="E35" s="19" t="s">
        <v>44</v>
      </c>
      <c r="F35" s="18"/>
      <c r="G35" s="17" t="s">
        <v>116</v>
      </c>
      <c r="H35" s="90"/>
      <c r="I35" s="118">
        <f>1000000/500000</f>
        <v>2</v>
      </c>
    </row>
    <row r="36" spans="1:9" s="4" customFormat="1" ht="47.25" x14ac:dyDescent="0.2">
      <c r="A36" s="17">
        <v>2</v>
      </c>
      <c r="B36" s="18" t="s">
        <v>45</v>
      </c>
      <c r="C36" s="17" t="s">
        <v>117</v>
      </c>
      <c r="D36" s="17">
        <v>2</v>
      </c>
      <c r="E36" s="18" t="s">
        <v>56</v>
      </c>
      <c r="F36" s="17" t="s">
        <v>63</v>
      </c>
      <c r="G36" s="92" t="s">
        <v>57</v>
      </c>
      <c r="H36" s="90"/>
      <c r="I36" s="118">
        <f>1500000/500000</f>
        <v>3</v>
      </c>
    </row>
    <row r="37" spans="1:9" s="79" customFormat="1" ht="18" x14ac:dyDescent="0.2">
      <c r="A37" s="93" t="s">
        <v>28</v>
      </c>
      <c r="B37" s="94" t="s">
        <v>18</v>
      </c>
      <c r="C37" s="93"/>
      <c r="D37" s="93" t="s">
        <v>28</v>
      </c>
      <c r="E37" s="94" t="s">
        <v>18</v>
      </c>
      <c r="F37" s="94"/>
      <c r="G37" s="93"/>
      <c r="H37" s="95"/>
      <c r="I37" s="96"/>
    </row>
    <row r="38" spans="1:9" s="86" customFormat="1" ht="18" x14ac:dyDescent="0.15">
      <c r="A38" s="99" t="s">
        <v>2</v>
      </c>
      <c r="B38" s="100" t="s">
        <v>21</v>
      </c>
      <c r="C38" s="101">
        <f>C39+C43</f>
        <v>2798200000</v>
      </c>
      <c r="D38" s="102"/>
      <c r="E38" s="103"/>
      <c r="F38" s="103"/>
      <c r="G38" s="104"/>
      <c r="H38" s="96"/>
      <c r="I38" s="96"/>
    </row>
    <row r="39" spans="1:9" s="86" customFormat="1" ht="18" x14ac:dyDescent="0.15">
      <c r="A39" s="105" t="s">
        <v>23</v>
      </c>
      <c r="B39" s="103" t="s">
        <v>8</v>
      </c>
      <c r="C39" s="104">
        <v>791000000</v>
      </c>
      <c r="D39" s="105"/>
      <c r="E39" s="103"/>
      <c r="F39" s="103"/>
      <c r="G39" s="104"/>
      <c r="H39" s="96"/>
      <c r="I39" s="96"/>
    </row>
    <row r="40" spans="1:9" s="86" customFormat="1" ht="18" x14ac:dyDescent="0.2">
      <c r="A40" s="105"/>
      <c r="B40" s="18" t="s">
        <v>4</v>
      </c>
      <c r="C40" s="104">
        <f>20000000+294000000</f>
        <v>314000000</v>
      </c>
      <c r="D40" s="105"/>
      <c r="E40" s="103"/>
      <c r="F40" s="103"/>
      <c r="G40" s="104"/>
      <c r="H40" s="96"/>
      <c r="I40" s="96"/>
    </row>
    <row r="41" spans="1:9" s="86" customFormat="1" ht="31.5" x14ac:dyDescent="0.2">
      <c r="A41" s="105"/>
      <c r="B41" s="18" t="s">
        <v>103</v>
      </c>
      <c r="C41" s="104">
        <f>360500000+10000000</f>
        <v>370500000</v>
      </c>
      <c r="D41" s="105"/>
      <c r="E41" s="103"/>
      <c r="F41" s="103"/>
      <c r="G41" s="104"/>
      <c r="H41" s="96"/>
      <c r="I41" s="96"/>
    </row>
    <row r="42" spans="1:9" s="86" customFormat="1" ht="18" x14ac:dyDescent="0.2">
      <c r="A42" s="105"/>
      <c r="B42" s="18" t="s">
        <v>14</v>
      </c>
      <c r="C42" s="104">
        <v>106500000</v>
      </c>
      <c r="D42" s="105"/>
      <c r="E42" s="103"/>
      <c r="F42" s="103"/>
      <c r="G42" s="104"/>
      <c r="H42" s="96"/>
      <c r="I42" s="96"/>
    </row>
    <row r="43" spans="1:9" s="86" customFormat="1" ht="18" x14ac:dyDescent="0.15">
      <c r="A43" s="105" t="s">
        <v>23</v>
      </c>
      <c r="B43" s="103" t="s">
        <v>9</v>
      </c>
      <c r="C43" s="104">
        <f>2798200000-791000000</f>
        <v>2007200000</v>
      </c>
      <c r="D43" s="105"/>
      <c r="E43" s="103"/>
      <c r="F43" s="103"/>
      <c r="G43" s="104"/>
      <c r="H43" s="96"/>
      <c r="I43" s="96"/>
    </row>
    <row r="44" spans="1:9" s="86" customFormat="1" ht="18" x14ac:dyDescent="0.2">
      <c r="A44" s="105"/>
      <c r="B44" s="18" t="s">
        <v>4</v>
      </c>
      <c r="C44" s="104">
        <f>1637000000-314000000</f>
        <v>1323000000</v>
      </c>
      <c r="D44" s="105"/>
      <c r="E44" s="103"/>
      <c r="F44" s="103"/>
      <c r="G44" s="104"/>
      <c r="H44" s="96"/>
      <c r="I44" s="96"/>
    </row>
    <row r="45" spans="1:9" s="86" customFormat="1" ht="31.5" x14ac:dyDescent="0.2">
      <c r="A45" s="105"/>
      <c r="B45" s="18" t="s">
        <v>103</v>
      </c>
      <c r="C45" s="104">
        <f>561700000-370500000</f>
        <v>191200000</v>
      </c>
      <c r="D45" s="105"/>
      <c r="E45" s="103"/>
      <c r="F45" s="103"/>
      <c r="G45" s="104"/>
      <c r="H45" s="96"/>
      <c r="I45" s="96"/>
    </row>
    <row r="46" spans="1:9" s="86" customFormat="1" ht="18" x14ac:dyDescent="0.2">
      <c r="A46" s="105"/>
      <c r="B46" s="18" t="s">
        <v>14</v>
      </c>
      <c r="C46" s="104">
        <f>599500000-106500000</f>
        <v>493000000</v>
      </c>
      <c r="D46" s="105"/>
      <c r="E46" s="103"/>
      <c r="F46" s="103"/>
      <c r="G46" s="104"/>
      <c r="H46" s="96"/>
      <c r="I46" s="96"/>
    </row>
    <row r="47" spans="1:9" s="86" customFormat="1" ht="18" x14ac:dyDescent="0.15">
      <c r="A47" s="105" t="s">
        <v>23</v>
      </c>
      <c r="B47" s="103" t="s">
        <v>44</v>
      </c>
      <c r="C47" s="104"/>
      <c r="D47" s="105"/>
      <c r="E47" s="103"/>
      <c r="F47" s="103"/>
      <c r="G47" s="104"/>
      <c r="H47" s="96"/>
      <c r="I47" s="96"/>
    </row>
    <row r="48" spans="1:9" s="80" customFormat="1" ht="18" x14ac:dyDescent="0.2">
      <c r="A48" s="106"/>
      <c r="B48" s="107"/>
      <c r="C48" s="106"/>
      <c r="D48" s="93" t="s">
        <v>5</v>
      </c>
      <c r="E48" s="108" t="s">
        <v>22</v>
      </c>
      <c r="F48" s="109"/>
      <c r="G48" s="109"/>
      <c r="H48" s="106"/>
      <c r="I48" s="96"/>
    </row>
    <row r="49" spans="1:9" s="80" customFormat="1" ht="18" x14ac:dyDescent="0.2">
      <c r="A49" s="106"/>
      <c r="B49" s="107"/>
      <c r="C49" s="106"/>
      <c r="D49" s="93">
        <v>1</v>
      </c>
      <c r="E49" s="108" t="s">
        <v>101</v>
      </c>
      <c r="F49" s="110"/>
      <c r="G49" s="110">
        <f>SUM(G50:G52)</f>
        <v>10251000000</v>
      </c>
      <c r="H49" s="106"/>
      <c r="I49" s="96"/>
    </row>
    <row r="50" spans="1:9" s="80" customFormat="1" ht="18" x14ac:dyDescent="0.2">
      <c r="A50" s="105"/>
      <c r="B50" s="103"/>
      <c r="C50" s="106"/>
      <c r="D50" s="105" t="s">
        <v>23</v>
      </c>
      <c r="E50" s="103" t="s">
        <v>8</v>
      </c>
      <c r="F50" s="111"/>
      <c r="G50" s="112">
        <v>1340000000</v>
      </c>
      <c r="H50" s="106"/>
      <c r="I50" s="118">
        <f>(I11+I16+I20+I24)/4</f>
        <v>3.0833333333333335</v>
      </c>
    </row>
    <row r="51" spans="1:9" s="80" customFormat="1" ht="18" x14ac:dyDescent="0.2">
      <c r="A51" s="105"/>
      <c r="B51" s="103"/>
      <c r="C51" s="106"/>
      <c r="D51" s="105" t="s">
        <v>23</v>
      </c>
      <c r="E51" s="103" t="s">
        <v>9</v>
      </c>
      <c r="F51" s="111"/>
      <c r="G51" s="112">
        <f>(C44+C45)*I51</f>
        <v>3785500000</v>
      </c>
      <c r="H51" s="106"/>
      <c r="I51" s="118">
        <f>(I12+I17+I21+I25)/4</f>
        <v>2.5</v>
      </c>
    </row>
    <row r="52" spans="1:9" s="80" customFormat="1" ht="18" x14ac:dyDescent="0.2">
      <c r="A52" s="105"/>
      <c r="B52" s="103"/>
      <c r="C52" s="106"/>
      <c r="D52" s="105" t="s">
        <v>23</v>
      </c>
      <c r="E52" s="103" t="s">
        <v>44</v>
      </c>
      <c r="F52" s="111"/>
      <c r="G52" s="111">
        <f>G50+G51</f>
        <v>5125500000</v>
      </c>
      <c r="H52" s="106"/>
      <c r="I52" s="118"/>
    </row>
    <row r="53" spans="1:9" s="80" customFormat="1" ht="18" x14ac:dyDescent="0.2">
      <c r="A53" s="106"/>
      <c r="B53" s="113"/>
      <c r="C53" s="106"/>
      <c r="D53" s="106" t="s">
        <v>104</v>
      </c>
      <c r="E53" s="113" t="s">
        <v>98</v>
      </c>
      <c r="F53" s="111"/>
      <c r="G53" s="111">
        <f>SUM(G54:G56)</f>
        <v>2050200000</v>
      </c>
      <c r="H53" s="106"/>
      <c r="I53" s="118"/>
    </row>
    <row r="54" spans="1:9" s="80" customFormat="1" ht="18" x14ac:dyDescent="0.2">
      <c r="A54" s="105"/>
      <c r="B54" s="103"/>
      <c r="C54" s="106"/>
      <c r="D54" s="105" t="s">
        <v>23</v>
      </c>
      <c r="E54" s="103" t="s">
        <v>8</v>
      </c>
      <c r="F54" s="111"/>
      <c r="G54" s="111">
        <f>G50/5</f>
        <v>268000000</v>
      </c>
      <c r="H54" s="106"/>
      <c r="I54" s="118"/>
    </row>
    <row r="55" spans="1:9" s="80" customFormat="1" ht="18" x14ac:dyDescent="0.2">
      <c r="A55" s="105"/>
      <c r="B55" s="103"/>
      <c r="C55" s="106"/>
      <c r="D55" s="105" t="s">
        <v>23</v>
      </c>
      <c r="E55" s="103" t="s">
        <v>9</v>
      </c>
      <c r="F55" s="111"/>
      <c r="G55" s="111">
        <f>G51/5</f>
        <v>757100000</v>
      </c>
      <c r="H55" s="106"/>
      <c r="I55" s="118"/>
    </row>
    <row r="56" spans="1:9" s="80" customFormat="1" ht="18" x14ac:dyDescent="0.2">
      <c r="A56" s="105"/>
      <c r="B56" s="103"/>
      <c r="C56" s="106"/>
      <c r="D56" s="105" t="s">
        <v>23</v>
      </c>
      <c r="E56" s="103" t="s">
        <v>44</v>
      </c>
      <c r="F56" s="111"/>
      <c r="G56" s="111">
        <f>G52/5</f>
        <v>1025100000</v>
      </c>
      <c r="H56" s="106"/>
      <c r="I56" s="118"/>
    </row>
    <row r="57" spans="1:9" s="86" customFormat="1" ht="31.5" x14ac:dyDescent="0.2">
      <c r="A57" s="102"/>
      <c r="B57" s="103"/>
      <c r="C57" s="102"/>
      <c r="D57" s="99">
        <v>2</v>
      </c>
      <c r="E57" s="28" t="s">
        <v>102</v>
      </c>
      <c r="F57" s="114"/>
      <c r="G57" s="114">
        <f>SUM(G58:G60)</f>
        <v>13385066666.666666</v>
      </c>
      <c r="H57" s="102"/>
      <c r="I57" s="118"/>
    </row>
    <row r="58" spans="1:9" s="80" customFormat="1" ht="18" x14ac:dyDescent="0.2">
      <c r="A58" s="105"/>
      <c r="B58" s="103"/>
      <c r="C58" s="115"/>
      <c r="D58" s="105" t="s">
        <v>23</v>
      </c>
      <c r="E58" s="103" t="s">
        <v>8</v>
      </c>
      <c r="F58" s="111"/>
      <c r="G58" s="112">
        <v>1340000000</v>
      </c>
      <c r="H58" s="106"/>
      <c r="I58" s="118">
        <f>(I11+I16+I20+I24+I33+I36)/6</f>
        <v>3.2222222222222228</v>
      </c>
    </row>
    <row r="59" spans="1:9" s="80" customFormat="1" ht="18" x14ac:dyDescent="0.2">
      <c r="A59" s="105"/>
      <c r="B59" s="103"/>
      <c r="C59" s="115"/>
      <c r="D59" s="105" t="s">
        <v>23</v>
      </c>
      <c r="E59" s="103" t="s">
        <v>9</v>
      </c>
      <c r="F59" s="111"/>
      <c r="G59" s="112">
        <f>C43*I59</f>
        <v>5352533333.333333</v>
      </c>
      <c r="H59" s="106"/>
      <c r="I59" s="118">
        <f>(I12+I17+I21+I25+I34+I36)/6</f>
        <v>2.6666666666666665</v>
      </c>
    </row>
    <row r="60" spans="1:9" s="80" customFormat="1" ht="18" x14ac:dyDescent="0.2">
      <c r="A60" s="105"/>
      <c r="B60" s="103"/>
      <c r="C60" s="115"/>
      <c r="D60" s="105" t="s">
        <v>23</v>
      </c>
      <c r="E60" s="103" t="s">
        <v>44</v>
      </c>
      <c r="F60" s="111"/>
      <c r="G60" s="111">
        <f>G58+G59</f>
        <v>6692533333.333333</v>
      </c>
      <c r="H60" s="106"/>
      <c r="I60" s="118"/>
    </row>
    <row r="61" spans="1:9" s="80" customFormat="1" ht="18" x14ac:dyDescent="0.2">
      <c r="A61" s="106"/>
      <c r="B61" s="113"/>
      <c r="C61" s="106"/>
      <c r="D61" s="106" t="s">
        <v>104</v>
      </c>
      <c r="E61" s="113" t="s">
        <v>98</v>
      </c>
      <c r="F61" s="111"/>
      <c r="G61" s="111">
        <f>SUM(G62:G64)</f>
        <v>2677013333.333333</v>
      </c>
      <c r="H61" s="106"/>
      <c r="I61" s="96"/>
    </row>
    <row r="62" spans="1:9" s="80" customFormat="1" ht="18" x14ac:dyDescent="0.2">
      <c r="A62" s="105"/>
      <c r="B62" s="103"/>
      <c r="C62" s="106"/>
      <c r="D62" s="105" t="s">
        <v>23</v>
      </c>
      <c r="E62" s="103" t="s">
        <v>8</v>
      </c>
      <c r="F62" s="111"/>
      <c r="G62" s="111">
        <f>G58/5</f>
        <v>268000000</v>
      </c>
      <c r="H62" s="106"/>
      <c r="I62" s="96"/>
    </row>
    <row r="63" spans="1:9" s="80" customFormat="1" ht="18" x14ac:dyDescent="0.2">
      <c r="A63" s="105"/>
      <c r="B63" s="103"/>
      <c r="C63" s="106"/>
      <c r="D63" s="105" t="s">
        <v>23</v>
      </c>
      <c r="E63" s="103" t="s">
        <v>9</v>
      </c>
      <c r="F63" s="111"/>
      <c r="G63" s="111">
        <f>G59/5</f>
        <v>1070506666.6666666</v>
      </c>
      <c r="H63" s="106"/>
      <c r="I63" s="96"/>
    </row>
    <row r="64" spans="1:9" s="80" customFormat="1" ht="18" x14ac:dyDescent="0.2">
      <c r="A64" s="105"/>
      <c r="B64" s="103"/>
      <c r="C64" s="106"/>
      <c r="D64" s="105" t="s">
        <v>23</v>
      </c>
      <c r="E64" s="103" t="s">
        <v>44</v>
      </c>
      <c r="F64" s="111"/>
      <c r="G64" s="111">
        <f>G60/5</f>
        <v>1338506666.6666665</v>
      </c>
      <c r="H64" s="106"/>
      <c r="I64" s="107"/>
    </row>
    <row r="65" spans="1:12" ht="18" x14ac:dyDescent="0.2">
      <c r="A65" s="33"/>
      <c r="B65" s="34"/>
      <c r="C65" s="33"/>
      <c r="D65" s="99"/>
      <c r="E65" s="28" t="s">
        <v>119</v>
      </c>
      <c r="F65" s="114"/>
      <c r="G65" s="114">
        <v>13385000000</v>
      </c>
      <c r="H65" s="102"/>
      <c r="I65" s="96"/>
      <c r="L65" s="87">
        <f>G65-G49</f>
        <v>3134000000</v>
      </c>
    </row>
    <row r="66" spans="1:12" ht="18" x14ac:dyDescent="0.2">
      <c r="A66" s="33"/>
      <c r="B66" s="34"/>
      <c r="C66" s="33"/>
      <c r="D66" s="105" t="s">
        <v>23</v>
      </c>
      <c r="E66" s="103" t="s">
        <v>8</v>
      </c>
      <c r="F66" s="111"/>
      <c r="G66" s="112">
        <v>1340000000</v>
      </c>
      <c r="H66" s="106"/>
      <c r="I66" s="96"/>
    </row>
    <row r="67" spans="1:12" ht="18" x14ac:dyDescent="0.2">
      <c r="A67" s="33"/>
      <c r="B67" s="34"/>
      <c r="C67" s="33"/>
      <c r="D67" s="105" t="s">
        <v>23</v>
      </c>
      <c r="E67" s="103" t="s">
        <v>9</v>
      </c>
      <c r="F67" s="111"/>
      <c r="G67" s="112">
        <v>5352500000</v>
      </c>
      <c r="H67" s="106"/>
      <c r="I67" s="96"/>
    </row>
    <row r="68" spans="1:12" ht="18" x14ac:dyDescent="0.2">
      <c r="A68" s="33"/>
      <c r="B68" s="34"/>
      <c r="C68" s="33"/>
      <c r="D68" s="105" t="s">
        <v>23</v>
      </c>
      <c r="E68" s="103" t="s">
        <v>44</v>
      </c>
      <c r="F68" s="111"/>
      <c r="G68" s="111">
        <f>G66+G67</f>
        <v>6692500000</v>
      </c>
      <c r="H68" s="106"/>
      <c r="I68" s="96"/>
    </row>
    <row r="69" spans="1:12" ht="18" x14ac:dyDescent="0.2">
      <c r="A69" s="33"/>
      <c r="B69" s="34"/>
      <c r="C69" s="33"/>
      <c r="D69" s="106" t="s">
        <v>104</v>
      </c>
      <c r="E69" s="113" t="s">
        <v>98</v>
      </c>
      <c r="F69" s="111"/>
      <c r="G69" s="111">
        <f>SUM(G70:G72)</f>
        <v>2677000000</v>
      </c>
      <c r="H69" s="106"/>
      <c r="I69" s="96"/>
      <c r="K69" s="1">
        <f>G69/G53</f>
        <v>1.3057262706077455</v>
      </c>
      <c r="L69" s="87">
        <f>G69-G53</f>
        <v>626800000</v>
      </c>
    </row>
    <row r="70" spans="1:12" ht="18" x14ac:dyDescent="0.2">
      <c r="A70" s="33"/>
      <c r="B70" s="34"/>
      <c r="C70" s="33"/>
      <c r="D70" s="105" t="s">
        <v>23</v>
      </c>
      <c r="E70" s="103" t="s">
        <v>8</v>
      </c>
      <c r="F70" s="111"/>
      <c r="G70" s="111">
        <f>G66/5</f>
        <v>268000000</v>
      </c>
      <c r="H70" s="106"/>
      <c r="I70" s="96"/>
    </row>
    <row r="71" spans="1:12" ht="18" x14ac:dyDescent="0.2">
      <c r="A71" s="33"/>
      <c r="B71" s="34"/>
      <c r="C71" s="33"/>
      <c r="D71" s="105" t="s">
        <v>23</v>
      </c>
      <c r="E71" s="103" t="s">
        <v>9</v>
      </c>
      <c r="F71" s="111"/>
      <c r="G71" s="111">
        <f>G67/5</f>
        <v>1070500000</v>
      </c>
      <c r="H71" s="106"/>
      <c r="I71" s="96"/>
      <c r="K71" s="1">
        <f>G71/G55</f>
        <v>1.4139479593184521</v>
      </c>
    </row>
    <row r="72" spans="1:12" ht="18" x14ac:dyDescent="0.2">
      <c r="A72" s="33"/>
      <c r="B72" s="34"/>
      <c r="C72" s="33"/>
      <c r="D72" s="105" t="s">
        <v>23</v>
      </c>
      <c r="E72" s="103" t="s">
        <v>44</v>
      </c>
      <c r="F72" s="111"/>
      <c r="G72" s="111">
        <f>G68/5</f>
        <v>1338500000</v>
      </c>
      <c r="H72" s="106"/>
      <c r="I72" s="107"/>
      <c r="K72" s="1">
        <f>G72/G56</f>
        <v>1.3057262706077455</v>
      </c>
    </row>
    <row r="73" spans="1:12" ht="18" x14ac:dyDescent="0.2">
      <c r="A73" s="116"/>
      <c r="B73" s="117"/>
      <c r="C73" s="116"/>
      <c r="D73" s="116"/>
      <c r="E73" s="116"/>
      <c r="F73" s="116"/>
      <c r="G73" s="116"/>
      <c r="H73" s="116"/>
      <c r="I73" s="117"/>
    </row>
  </sheetData>
  <mergeCells count="9">
    <mergeCell ref="A1:I1"/>
    <mergeCell ref="A2:I2"/>
    <mergeCell ref="H6:I7"/>
    <mergeCell ref="B6:C6"/>
    <mergeCell ref="A6:A7"/>
    <mergeCell ref="D6:D7"/>
    <mergeCell ref="E6:E7"/>
    <mergeCell ref="A3:I3"/>
    <mergeCell ref="A4:I4"/>
  </mergeCells>
  <pageMargins left="0.36" right="0.33" top="0.55000000000000004" bottom="0.54" header="0.3" footer="0.3"/>
  <pageSetup paperSize="9" scale="65" orientation="landscape" r:id="rId1"/>
  <headerFooter differentFirst="1">
    <oddHeader>&amp;C&amp;"Times New Roman,Regular"&amp;12&amp;P</oddHead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72"/>
  <sheetViews>
    <sheetView tabSelected="1" workbookViewId="0">
      <selection activeCell="F4" sqref="F4"/>
    </sheetView>
  </sheetViews>
  <sheetFormatPr defaultColWidth="9.19140625" defaultRowHeight="18.75" x14ac:dyDescent="0.25"/>
  <cols>
    <col min="1" max="1" width="4.2890625" style="83" hidden="1" customWidth="1"/>
    <col min="2" max="2" width="40.33203125" style="1" hidden="1" customWidth="1"/>
    <col min="3" max="3" width="37.14453125" style="83" hidden="1" customWidth="1"/>
    <col min="4" max="4" width="4.2890625" style="83" bestFit="1" customWidth="1"/>
    <col min="5" max="5" width="45.7265625" style="83" customWidth="1"/>
    <col min="6" max="6" width="31.87109375" style="83" bestFit="1" customWidth="1"/>
    <col min="7" max="7" width="40.69921875" style="83" customWidth="1"/>
    <col min="8" max="8" width="9.4375" style="83" bestFit="1" customWidth="1"/>
    <col min="9" max="9" width="9.4375" style="1" hidden="1" customWidth="1"/>
    <col min="10" max="11" width="9.19140625" style="1"/>
    <col min="12" max="12" width="16.42578125" style="1" bestFit="1" customWidth="1"/>
    <col min="13" max="16384" width="9.19140625" style="1"/>
  </cols>
  <sheetData>
    <row r="1" spans="1:9" x14ac:dyDescent="0.25">
      <c r="A1" s="131" t="s">
        <v>141</v>
      </c>
      <c r="B1" s="131"/>
      <c r="C1" s="131"/>
      <c r="D1" s="131"/>
      <c r="E1" s="131"/>
      <c r="F1" s="131"/>
      <c r="G1" s="131"/>
      <c r="H1" s="131"/>
      <c r="I1" s="131"/>
    </row>
    <row r="2" spans="1:9" x14ac:dyDescent="0.25">
      <c r="A2" s="136" t="s">
        <v>130</v>
      </c>
      <c r="B2" s="136"/>
      <c r="C2" s="136"/>
      <c r="D2" s="136"/>
      <c r="E2" s="136"/>
      <c r="F2" s="136"/>
      <c r="G2" s="136"/>
      <c r="H2" s="136"/>
      <c r="I2" s="136"/>
    </row>
    <row r="3" spans="1:9" x14ac:dyDescent="0.25">
      <c r="A3" s="130"/>
      <c r="B3" s="130"/>
      <c r="C3" s="130"/>
      <c r="D3" s="136"/>
      <c r="E3" s="136"/>
      <c r="F3" s="136"/>
      <c r="G3" s="136"/>
      <c r="H3" s="136"/>
      <c r="I3" s="130"/>
    </row>
    <row r="5" spans="1:9" s="4" customFormat="1" ht="37.5" customHeight="1" x14ac:dyDescent="0.25">
      <c r="A5" s="141" t="s">
        <v>120</v>
      </c>
      <c r="B5" s="141" t="s">
        <v>19</v>
      </c>
      <c r="C5" s="141"/>
      <c r="D5" s="141" t="s">
        <v>120</v>
      </c>
      <c r="E5" s="141" t="s">
        <v>47</v>
      </c>
      <c r="F5" s="126" t="s">
        <v>134</v>
      </c>
      <c r="G5" s="125" t="s">
        <v>43</v>
      </c>
      <c r="H5" s="140" t="s">
        <v>20</v>
      </c>
      <c r="I5" s="143"/>
    </row>
    <row r="6" spans="1:9" s="4" customFormat="1" x14ac:dyDescent="0.25">
      <c r="A6" s="140"/>
      <c r="B6" s="125" t="s">
        <v>0</v>
      </c>
      <c r="C6" s="126" t="s">
        <v>11</v>
      </c>
      <c r="D6" s="140"/>
      <c r="E6" s="141"/>
      <c r="F6" s="126" t="s">
        <v>11</v>
      </c>
      <c r="G6" s="125" t="s">
        <v>11</v>
      </c>
      <c r="H6" s="140"/>
      <c r="I6" s="144"/>
    </row>
    <row r="7" spans="1:9" s="124" customFormat="1" x14ac:dyDescent="0.25">
      <c r="A7" s="84" t="s">
        <v>27</v>
      </c>
      <c r="B7" s="84" t="s">
        <v>28</v>
      </c>
      <c r="C7" s="89" t="s">
        <v>96</v>
      </c>
      <c r="D7" s="84">
        <v>1</v>
      </c>
      <c r="E7" s="89">
        <v>2</v>
      </c>
      <c r="F7" s="89">
        <v>3</v>
      </c>
      <c r="G7" s="84">
        <v>4</v>
      </c>
      <c r="H7" s="84" t="s">
        <v>66</v>
      </c>
      <c r="I7" s="84" t="s">
        <v>100</v>
      </c>
    </row>
    <row r="8" spans="1:9" s="124" customFormat="1" hidden="1" x14ac:dyDescent="0.15">
      <c r="A8" s="85" t="s">
        <v>27</v>
      </c>
      <c r="B8" s="85" t="s">
        <v>97</v>
      </c>
      <c r="C8" s="14"/>
      <c r="D8" s="85"/>
      <c r="E8" s="14"/>
      <c r="F8" s="14"/>
      <c r="G8" s="85"/>
      <c r="H8" s="85"/>
      <c r="I8" s="17"/>
    </row>
    <row r="9" spans="1:9" s="4" customFormat="1" ht="51.75" x14ac:dyDescent="0.25">
      <c r="A9" s="85" t="s">
        <v>2</v>
      </c>
      <c r="B9" s="28" t="s">
        <v>65</v>
      </c>
      <c r="C9" s="17" t="s">
        <v>105</v>
      </c>
      <c r="D9" s="85" t="s">
        <v>2</v>
      </c>
      <c r="E9" s="28" t="s">
        <v>48</v>
      </c>
      <c r="F9" s="17" t="s">
        <v>74</v>
      </c>
      <c r="G9" s="17"/>
      <c r="H9" s="90"/>
      <c r="I9" s="19"/>
    </row>
    <row r="10" spans="1:9" s="4" customFormat="1" ht="18" customHeight="1" x14ac:dyDescent="0.15">
      <c r="A10" s="21" t="s">
        <v>23</v>
      </c>
      <c r="B10" s="19" t="s">
        <v>8</v>
      </c>
      <c r="C10" s="17"/>
      <c r="D10" s="21" t="s">
        <v>23</v>
      </c>
      <c r="E10" s="19" t="s">
        <v>8</v>
      </c>
      <c r="F10" s="17"/>
      <c r="G10" s="17" t="s">
        <v>74</v>
      </c>
      <c r="H10" s="118">
        <f>1000000/1000000</f>
        <v>1</v>
      </c>
      <c r="I10" s="118">
        <f>1000000/500000</f>
        <v>2</v>
      </c>
    </row>
    <row r="11" spans="1:9" s="4" customFormat="1" x14ac:dyDescent="0.15">
      <c r="A11" s="21" t="s">
        <v>23</v>
      </c>
      <c r="B11" s="19" t="s">
        <v>9</v>
      </c>
      <c r="C11" s="17"/>
      <c r="D11" s="21" t="s">
        <v>23</v>
      </c>
      <c r="E11" s="19" t="s">
        <v>9</v>
      </c>
      <c r="F11" s="17"/>
      <c r="G11" s="17" t="s">
        <v>76</v>
      </c>
      <c r="H11" s="118">
        <f>800000/1000000</f>
        <v>0.8</v>
      </c>
      <c r="I11" s="118">
        <f>800000/500000</f>
        <v>1.6</v>
      </c>
    </row>
    <row r="12" spans="1:9" s="4" customFormat="1" x14ac:dyDescent="0.15">
      <c r="A12" s="21" t="s">
        <v>23</v>
      </c>
      <c r="B12" s="19" t="s">
        <v>44</v>
      </c>
      <c r="C12" s="17"/>
      <c r="D12" s="21" t="s">
        <v>23</v>
      </c>
      <c r="E12" s="19" t="s">
        <v>44</v>
      </c>
      <c r="F12" s="17"/>
      <c r="G12" s="17" t="s">
        <v>75</v>
      </c>
      <c r="H12" s="118">
        <f>600000/1000000</f>
        <v>0.6</v>
      </c>
      <c r="I12" s="118">
        <f>600000/500000</f>
        <v>1.2</v>
      </c>
    </row>
    <row r="13" spans="1:9" s="5" customFormat="1" ht="51.75" x14ac:dyDescent="0.25">
      <c r="A13" s="85" t="s">
        <v>5</v>
      </c>
      <c r="B13" s="28" t="s">
        <v>52</v>
      </c>
      <c r="C13" s="85"/>
      <c r="D13" s="85" t="s">
        <v>5</v>
      </c>
      <c r="E13" s="28" t="s">
        <v>49</v>
      </c>
      <c r="F13" s="92"/>
      <c r="G13" s="85"/>
      <c r="H13" s="91"/>
      <c r="I13" s="90"/>
    </row>
    <row r="14" spans="1:9" s="5" customFormat="1" ht="51.75" x14ac:dyDescent="0.25">
      <c r="A14" s="17">
        <v>1</v>
      </c>
      <c r="B14" s="18" t="s">
        <v>64</v>
      </c>
      <c r="C14" s="92" t="s">
        <v>106</v>
      </c>
      <c r="D14" s="17">
        <v>1</v>
      </c>
      <c r="E14" s="18" t="s">
        <v>50</v>
      </c>
      <c r="F14" s="92" t="s">
        <v>51</v>
      </c>
      <c r="G14" s="17"/>
      <c r="H14" s="90"/>
      <c r="I14" s="90"/>
    </row>
    <row r="15" spans="1:9" s="5" customFormat="1" ht="35.25" x14ac:dyDescent="0.25">
      <c r="A15" s="21" t="s">
        <v>23</v>
      </c>
      <c r="B15" s="19" t="s">
        <v>8</v>
      </c>
      <c r="C15" s="17"/>
      <c r="D15" s="21" t="s">
        <v>23</v>
      </c>
      <c r="E15" s="19" t="s">
        <v>8</v>
      </c>
      <c r="F15" s="17"/>
      <c r="G15" s="92" t="s">
        <v>77</v>
      </c>
      <c r="H15" s="118">
        <f>1000000/1000000</f>
        <v>1</v>
      </c>
      <c r="I15" s="118">
        <f>3000000/1000000</f>
        <v>3</v>
      </c>
    </row>
    <row r="16" spans="1:9" s="5" customFormat="1" ht="35.25" x14ac:dyDescent="0.25">
      <c r="A16" s="21" t="s">
        <v>23</v>
      </c>
      <c r="B16" s="19" t="s">
        <v>9</v>
      </c>
      <c r="C16" s="17"/>
      <c r="D16" s="21" t="s">
        <v>23</v>
      </c>
      <c r="E16" s="19" t="s">
        <v>9</v>
      </c>
      <c r="F16" s="17"/>
      <c r="G16" s="92" t="s">
        <v>78</v>
      </c>
      <c r="H16" s="118">
        <f>800000/1000000</f>
        <v>0.8</v>
      </c>
      <c r="I16" s="118">
        <f>2400000/1000000</f>
        <v>2.4</v>
      </c>
    </row>
    <row r="17" spans="1:9" s="5" customFormat="1" ht="35.25" x14ac:dyDescent="0.25">
      <c r="A17" s="21" t="s">
        <v>23</v>
      </c>
      <c r="B17" s="19" t="s">
        <v>44</v>
      </c>
      <c r="C17" s="17"/>
      <c r="D17" s="21" t="s">
        <v>23</v>
      </c>
      <c r="E17" s="19" t="s">
        <v>44</v>
      </c>
      <c r="F17" s="17"/>
      <c r="G17" s="92" t="s">
        <v>79</v>
      </c>
      <c r="H17" s="118">
        <f>500000/1000000</f>
        <v>0.5</v>
      </c>
      <c r="I17" s="118">
        <f>1500000/1000000</f>
        <v>1.5</v>
      </c>
    </row>
    <row r="18" spans="1:9" s="4" customFormat="1" ht="35.25" x14ac:dyDescent="0.25">
      <c r="A18" s="17">
        <v>2</v>
      </c>
      <c r="B18" s="19" t="s">
        <v>7</v>
      </c>
      <c r="C18" s="17"/>
      <c r="D18" s="17">
        <v>2</v>
      </c>
      <c r="E18" s="18" t="s">
        <v>53</v>
      </c>
      <c r="F18" s="92" t="s">
        <v>59</v>
      </c>
      <c r="G18" s="17"/>
      <c r="H18" s="90"/>
      <c r="I18" s="90"/>
    </row>
    <row r="19" spans="1:9" s="4" customFormat="1" x14ac:dyDescent="0.25">
      <c r="A19" s="21" t="s">
        <v>23</v>
      </c>
      <c r="B19" s="19" t="s">
        <v>8</v>
      </c>
      <c r="C19" s="92" t="s">
        <v>107</v>
      </c>
      <c r="D19" s="21" t="s">
        <v>23</v>
      </c>
      <c r="E19" s="19" t="s">
        <v>8</v>
      </c>
      <c r="F19" s="17"/>
      <c r="G19" s="92" t="s">
        <v>82</v>
      </c>
      <c r="H19" s="118">
        <f>5000000/5000000</f>
        <v>1</v>
      </c>
      <c r="I19" s="118">
        <f>5000000/1500000</f>
        <v>3.3333333333333335</v>
      </c>
    </row>
    <row r="20" spans="1:9" s="4" customFormat="1" x14ac:dyDescent="0.25">
      <c r="A20" s="21" t="s">
        <v>23</v>
      </c>
      <c r="B20" s="19" t="s">
        <v>9</v>
      </c>
      <c r="C20" s="92" t="s">
        <v>108</v>
      </c>
      <c r="D20" s="21" t="s">
        <v>23</v>
      </c>
      <c r="E20" s="19" t="s">
        <v>9</v>
      </c>
      <c r="F20" s="17"/>
      <c r="G20" s="92" t="s">
        <v>83</v>
      </c>
      <c r="H20" s="118">
        <f>3000000/5000000</f>
        <v>0.6</v>
      </c>
      <c r="I20" s="118">
        <f>3000000/1500000</f>
        <v>2</v>
      </c>
    </row>
    <row r="21" spans="1:9" s="4" customFormat="1" x14ac:dyDescent="0.25">
      <c r="A21" s="21" t="s">
        <v>23</v>
      </c>
      <c r="B21" s="19" t="s">
        <v>44</v>
      </c>
      <c r="C21" s="17"/>
      <c r="D21" s="21" t="s">
        <v>23</v>
      </c>
      <c r="E21" s="19" t="s">
        <v>44</v>
      </c>
      <c r="F21" s="17"/>
      <c r="G21" s="92" t="s">
        <v>84</v>
      </c>
      <c r="H21" s="118">
        <f>2000000/5000000</f>
        <v>0.4</v>
      </c>
      <c r="I21" s="118">
        <f>2000000/1500000</f>
        <v>1.3333333333333333</v>
      </c>
    </row>
    <row r="22" spans="1:9" s="4" customFormat="1" ht="35.25" x14ac:dyDescent="0.25">
      <c r="A22" s="17">
        <v>3</v>
      </c>
      <c r="B22" s="19" t="s">
        <v>6</v>
      </c>
      <c r="C22" s="17"/>
      <c r="D22" s="17">
        <v>3</v>
      </c>
      <c r="E22" s="18" t="s">
        <v>54</v>
      </c>
      <c r="F22" s="17" t="s">
        <v>58</v>
      </c>
      <c r="G22" s="17"/>
      <c r="H22" s="118"/>
      <c r="I22" s="118"/>
    </row>
    <row r="23" spans="1:9" s="4" customFormat="1" x14ac:dyDescent="0.15">
      <c r="A23" s="21" t="s">
        <v>23</v>
      </c>
      <c r="B23" s="19" t="s">
        <v>8</v>
      </c>
      <c r="C23" s="17" t="s">
        <v>109</v>
      </c>
      <c r="D23" s="21" t="s">
        <v>23</v>
      </c>
      <c r="E23" s="19" t="s">
        <v>8</v>
      </c>
      <c r="F23" s="17"/>
      <c r="G23" s="17" t="s">
        <v>89</v>
      </c>
      <c r="H23" s="118">
        <f>4000000/4000000</f>
        <v>1</v>
      </c>
      <c r="I23" s="118">
        <f>4000000/1000000</f>
        <v>4</v>
      </c>
    </row>
    <row r="24" spans="1:9" s="4" customFormat="1" x14ac:dyDescent="0.15">
      <c r="A24" s="21" t="s">
        <v>23</v>
      </c>
      <c r="B24" s="19" t="s">
        <v>9</v>
      </c>
      <c r="C24" s="17" t="s">
        <v>110</v>
      </c>
      <c r="D24" s="21" t="s">
        <v>23</v>
      </c>
      <c r="E24" s="19" t="s">
        <v>9</v>
      </c>
      <c r="F24" s="17"/>
      <c r="G24" s="17" t="s">
        <v>90</v>
      </c>
      <c r="H24" s="118">
        <f>2000000/4000000</f>
        <v>0.5</v>
      </c>
      <c r="I24" s="118">
        <f>2000000/500000</f>
        <v>4</v>
      </c>
    </row>
    <row r="25" spans="1:9" s="4" customFormat="1" x14ac:dyDescent="0.15">
      <c r="A25" s="21" t="s">
        <v>23</v>
      </c>
      <c r="B25" s="19" t="s">
        <v>44</v>
      </c>
      <c r="C25" s="17"/>
      <c r="D25" s="21" t="s">
        <v>23</v>
      </c>
      <c r="E25" s="19" t="s">
        <v>44</v>
      </c>
      <c r="F25" s="17"/>
      <c r="G25" s="17" t="s">
        <v>91</v>
      </c>
      <c r="H25" s="118">
        <f>1500000/5000000</f>
        <v>0.3</v>
      </c>
      <c r="I25" s="118">
        <f>1500000/500000</f>
        <v>3</v>
      </c>
    </row>
    <row r="26" spans="1:9" s="4" customFormat="1" ht="35.25" x14ac:dyDescent="0.25">
      <c r="A26" s="17">
        <v>4</v>
      </c>
      <c r="B26" s="18" t="s">
        <v>10</v>
      </c>
      <c r="C26" s="17"/>
      <c r="D26" s="17"/>
      <c r="E26" s="18" t="s">
        <v>10</v>
      </c>
      <c r="F26" s="17" t="s">
        <v>63</v>
      </c>
      <c r="G26" s="17"/>
      <c r="H26" s="90"/>
      <c r="I26" s="90"/>
    </row>
    <row r="27" spans="1:9" s="4" customFormat="1" hidden="1" x14ac:dyDescent="0.25">
      <c r="A27" s="21" t="s">
        <v>23</v>
      </c>
      <c r="B27" s="19" t="s">
        <v>8</v>
      </c>
      <c r="C27" s="92" t="s">
        <v>111</v>
      </c>
      <c r="D27" s="21"/>
      <c r="E27" s="92"/>
      <c r="F27" s="17"/>
      <c r="G27" s="17"/>
      <c r="H27" s="90"/>
      <c r="I27" s="90"/>
    </row>
    <row r="28" spans="1:9" s="4" customFormat="1" hidden="1" x14ac:dyDescent="0.25">
      <c r="A28" s="21" t="s">
        <v>23</v>
      </c>
      <c r="B28" s="19" t="s">
        <v>9</v>
      </c>
      <c r="C28" s="92" t="s">
        <v>112</v>
      </c>
      <c r="D28" s="21"/>
      <c r="E28" s="92"/>
      <c r="F28" s="17"/>
      <c r="G28" s="17"/>
      <c r="H28" s="90"/>
      <c r="I28" s="90"/>
    </row>
    <row r="29" spans="1:9" s="4" customFormat="1" hidden="1" x14ac:dyDescent="0.15">
      <c r="A29" s="21" t="s">
        <v>23</v>
      </c>
      <c r="B29" s="19" t="s">
        <v>44</v>
      </c>
      <c r="C29" s="17"/>
      <c r="D29" s="21"/>
      <c r="E29" s="17"/>
      <c r="F29" s="17"/>
      <c r="G29" s="17"/>
      <c r="H29" s="90"/>
      <c r="I29" s="90"/>
    </row>
    <row r="30" spans="1:9" s="5" customFormat="1" x14ac:dyDescent="0.25">
      <c r="A30" s="85" t="s">
        <v>15</v>
      </c>
      <c r="B30" s="28" t="s">
        <v>14</v>
      </c>
      <c r="C30" s="85"/>
      <c r="D30" s="85" t="s">
        <v>15</v>
      </c>
      <c r="E30" s="28" t="s">
        <v>14</v>
      </c>
      <c r="F30" s="85"/>
      <c r="G30" s="85"/>
      <c r="H30" s="91"/>
      <c r="I30" s="90"/>
    </row>
    <row r="31" spans="1:9" s="4" customFormat="1" ht="103.5" x14ac:dyDescent="0.25">
      <c r="A31" s="17">
        <v>1</v>
      </c>
      <c r="B31" s="18" t="s">
        <v>16</v>
      </c>
      <c r="C31" s="92" t="s">
        <v>113</v>
      </c>
      <c r="D31" s="17">
        <v>1</v>
      </c>
      <c r="E31" s="18" t="s">
        <v>99</v>
      </c>
      <c r="F31" s="17" t="s">
        <v>63</v>
      </c>
      <c r="G31" s="17"/>
      <c r="H31" s="90"/>
      <c r="I31" s="90"/>
    </row>
    <row r="32" spans="1:9" s="4" customFormat="1" x14ac:dyDescent="0.15">
      <c r="A32" s="17"/>
      <c r="B32" s="18"/>
      <c r="C32" s="92"/>
      <c r="D32" s="21" t="s">
        <v>23</v>
      </c>
      <c r="E32" s="19" t="s">
        <v>8</v>
      </c>
      <c r="F32" s="18"/>
      <c r="G32" s="17" t="s">
        <v>114</v>
      </c>
      <c r="H32" s="90"/>
      <c r="I32" s="118">
        <f>2000000/500000</f>
        <v>4</v>
      </c>
    </row>
    <row r="33" spans="1:9" s="4" customFormat="1" x14ac:dyDescent="0.15">
      <c r="A33" s="17"/>
      <c r="B33" s="18"/>
      <c r="C33" s="92"/>
      <c r="D33" s="21" t="s">
        <v>23</v>
      </c>
      <c r="E33" s="19" t="s">
        <v>9</v>
      </c>
      <c r="F33" s="18"/>
      <c r="G33" s="17" t="s">
        <v>115</v>
      </c>
      <c r="H33" s="90"/>
      <c r="I33" s="118">
        <f>1500000/500000</f>
        <v>3</v>
      </c>
    </row>
    <row r="34" spans="1:9" s="4" customFormat="1" x14ac:dyDescent="0.15">
      <c r="A34" s="17"/>
      <c r="B34" s="18"/>
      <c r="C34" s="92"/>
      <c r="D34" s="21" t="s">
        <v>23</v>
      </c>
      <c r="E34" s="19" t="s">
        <v>44</v>
      </c>
      <c r="F34" s="18"/>
      <c r="G34" s="17" t="s">
        <v>116</v>
      </c>
      <c r="H34" s="90"/>
      <c r="I34" s="118">
        <f>1000000/500000</f>
        <v>2</v>
      </c>
    </row>
    <row r="35" spans="1:9" s="4" customFormat="1" ht="51.75" x14ac:dyDescent="0.25">
      <c r="A35" s="17">
        <v>2</v>
      </c>
      <c r="B35" s="18" t="s">
        <v>45</v>
      </c>
      <c r="C35" s="17" t="s">
        <v>117</v>
      </c>
      <c r="D35" s="17">
        <v>2</v>
      </c>
      <c r="E35" s="18" t="s">
        <v>56</v>
      </c>
      <c r="F35" s="17" t="s">
        <v>63</v>
      </c>
      <c r="G35" s="92" t="s">
        <v>57</v>
      </c>
      <c r="H35" s="90"/>
      <c r="I35" s="118">
        <f>1500000/500000</f>
        <v>3</v>
      </c>
    </row>
    <row r="36" spans="1:9" s="79" customFormat="1" x14ac:dyDescent="0.25">
      <c r="A36" s="93" t="s">
        <v>28</v>
      </c>
      <c r="B36" s="94" t="s">
        <v>18</v>
      </c>
      <c r="C36" s="93"/>
      <c r="D36" s="93" t="s">
        <v>28</v>
      </c>
      <c r="E36" s="94" t="s">
        <v>18</v>
      </c>
      <c r="F36" s="94"/>
      <c r="G36" s="93"/>
      <c r="H36" s="95"/>
      <c r="I36" s="96"/>
    </row>
    <row r="37" spans="1:9" s="86" customFormat="1" hidden="1" x14ac:dyDescent="0.15">
      <c r="A37" s="99" t="s">
        <v>2</v>
      </c>
      <c r="B37" s="100" t="s">
        <v>21</v>
      </c>
      <c r="C37" s="101">
        <f>C38+C42</f>
        <v>2798200000</v>
      </c>
      <c r="D37" s="102"/>
      <c r="E37" s="103"/>
      <c r="F37" s="103"/>
      <c r="G37" s="104"/>
      <c r="H37" s="96"/>
      <c r="I37" s="96"/>
    </row>
    <row r="38" spans="1:9" s="86" customFormat="1" hidden="1" x14ac:dyDescent="0.15">
      <c r="A38" s="105" t="s">
        <v>23</v>
      </c>
      <c r="B38" s="103" t="s">
        <v>8</v>
      </c>
      <c r="C38" s="104">
        <v>791000000</v>
      </c>
      <c r="D38" s="105"/>
      <c r="E38" s="103"/>
      <c r="F38" s="103"/>
      <c r="G38" s="104"/>
      <c r="H38" s="96"/>
      <c r="I38" s="96"/>
    </row>
    <row r="39" spans="1:9" s="86" customFormat="1" hidden="1" x14ac:dyDescent="0.25">
      <c r="A39" s="105"/>
      <c r="B39" s="18" t="s">
        <v>4</v>
      </c>
      <c r="C39" s="104">
        <f>20000000+294000000</f>
        <v>314000000</v>
      </c>
      <c r="D39" s="105"/>
      <c r="E39" s="103"/>
      <c r="F39" s="103"/>
      <c r="G39" s="104"/>
      <c r="H39" s="96"/>
      <c r="I39" s="96"/>
    </row>
    <row r="40" spans="1:9" s="86" customFormat="1" hidden="1" x14ac:dyDescent="0.25">
      <c r="A40" s="105"/>
      <c r="B40" s="18" t="s">
        <v>103</v>
      </c>
      <c r="C40" s="104">
        <f>360500000+10000000</f>
        <v>370500000</v>
      </c>
      <c r="D40" s="105"/>
      <c r="E40" s="103"/>
      <c r="F40" s="103"/>
      <c r="G40" s="104"/>
      <c r="H40" s="96"/>
      <c r="I40" s="96"/>
    </row>
    <row r="41" spans="1:9" s="86" customFormat="1" hidden="1" x14ac:dyDescent="0.25">
      <c r="A41" s="105"/>
      <c r="B41" s="18" t="s">
        <v>14</v>
      </c>
      <c r="C41" s="104">
        <v>106500000</v>
      </c>
      <c r="D41" s="105"/>
      <c r="E41" s="103"/>
      <c r="F41" s="103"/>
      <c r="G41" s="104"/>
      <c r="H41" s="96"/>
      <c r="I41" s="96"/>
    </row>
    <row r="42" spans="1:9" s="86" customFormat="1" hidden="1" x14ac:dyDescent="0.15">
      <c r="A42" s="105" t="s">
        <v>23</v>
      </c>
      <c r="B42" s="103" t="s">
        <v>9</v>
      </c>
      <c r="C42" s="104">
        <f>2798200000-791000000</f>
        <v>2007200000</v>
      </c>
      <c r="D42" s="105"/>
      <c r="E42" s="103"/>
      <c r="F42" s="103"/>
      <c r="G42" s="104"/>
      <c r="H42" s="96"/>
      <c r="I42" s="96"/>
    </row>
    <row r="43" spans="1:9" s="86" customFormat="1" hidden="1" x14ac:dyDescent="0.25">
      <c r="A43" s="105"/>
      <c r="B43" s="18" t="s">
        <v>4</v>
      </c>
      <c r="C43" s="104">
        <f>1637000000-314000000</f>
        <v>1323000000</v>
      </c>
      <c r="D43" s="105"/>
      <c r="E43" s="103"/>
      <c r="F43" s="103"/>
      <c r="G43" s="104"/>
      <c r="H43" s="96"/>
      <c r="I43" s="96"/>
    </row>
    <row r="44" spans="1:9" s="86" customFormat="1" hidden="1" x14ac:dyDescent="0.25">
      <c r="A44" s="105"/>
      <c r="B44" s="18" t="s">
        <v>103</v>
      </c>
      <c r="C44" s="104">
        <f>561700000-370500000</f>
        <v>191200000</v>
      </c>
      <c r="D44" s="105"/>
      <c r="E44" s="103"/>
      <c r="F44" s="103"/>
      <c r="G44" s="104"/>
      <c r="H44" s="96"/>
      <c r="I44" s="96"/>
    </row>
    <row r="45" spans="1:9" s="86" customFormat="1" hidden="1" x14ac:dyDescent="0.25">
      <c r="A45" s="105"/>
      <c r="B45" s="18" t="s">
        <v>14</v>
      </c>
      <c r="C45" s="104">
        <f>599500000-106500000</f>
        <v>493000000</v>
      </c>
      <c r="D45" s="105"/>
      <c r="E45" s="103"/>
      <c r="F45" s="103"/>
      <c r="G45" s="104"/>
      <c r="H45" s="96"/>
      <c r="I45" s="96"/>
    </row>
    <row r="46" spans="1:9" s="86" customFormat="1" hidden="1" x14ac:dyDescent="0.15">
      <c r="A46" s="105" t="s">
        <v>23</v>
      </c>
      <c r="B46" s="103" t="s">
        <v>44</v>
      </c>
      <c r="C46" s="104"/>
      <c r="D46" s="105"/>
      <c r="E46" s="103"/>
      <c r="F46" s="103"/>
      <c r="G46" s="104"/>
      <c r="H46" s="96"/>
      <c r="I46" s="96"/>
    </row>
    <row r="47" spans="1:9" s="80" customFormat="1" x14ac:dyDescent="0.25">
      <c r="A47" s="106"/>
      <c r="B47" s="107"/>
      <c r="C47" s="106"/>
      <c r="D47" s="93" t="s">
        <v>5</v>
      </c>
      <c r="E47" s="108" t="s">
        <v>22</v>
      </c>
      <c r="F47" s="109"/>
      <c r="G47" s="109"/>
      <c r="H47" s="106"/>
      <c r="I47" s="96"/>
    </row>
    <row r="48" spans="1:9" s="80" customFormat="1" x14ac:dyDescent="0.25">
      <c r="A48" s="106"/>
      <c r="B48" s="107"/>
      <c r="C48" s="106"/>
      <c r="D48" s="93">
        <v>1</v>
      </c>
      <c r="E48" s="108" t="s">
        <v>131</v>
      </c>
      <c r="F48" s="110"/>
      <c r="G48" s="110">
        <f>SUM(G49:G51)</f>
        <v>10251000000</v>
      </c>
      <c r="H48" s="106"/>
      <c r="I48" s="96"/>
    </row>
    <row r="49" spans="1:12" s="80" customFormat="1" x14ac:dyDescent="0.25">
      <c r="A49" s="105"/>
      <c r="B49" s="103"/>
      <c r="C49" s="106"/>
      <c r="D49" s="105" t="s">
        <v>23</v>
      </c>
      <c r="E49" s="103" t="s">
        <v>8</v>
      </c>
      <c r="F49" s="111"/>
      <c r="G49" s="112">
        <v>1340000000</v>
      </c>
      <c r="H49" s="106"/>
      <c r="I49" s="118">
        <f>(I10+I15+I19+I23)/4</f>
        <v>3.0833333333333335</v>
      </c>
    </row>
    <row r="50" spans="1:12" s="80" customFormat="1" x14ac:dyDescent="0.25">
      <c r="A50" s="105"/>
      <c r="B50" s="103"/>
      <c r="C50" s="106"/>
      <c r="D50" s="105" t="s">
        <v>23</v>
      </c>
      <c r="E50" s="103" t="s">
        <v>9</v>
      </c>
      <c r="F50" s="111"/>
      <c r="G50" s="112">
        <f>(C43+C44)*I50</f>
        <v>3785500000</v>
      </c>
      <c r="H50" s="106"/>
      <c r="I50" s="118">
        <f>(I11+I16+I20+I24)/4</f>
        <v>2.5</v>
      </c>
    </row>
    <row r="51" spans="1:12" s="80" customFormat="1" x14ac:dyDescent="0.25">
      <c r="A51" s="105"/>
      <c r="B51" s="103"/>
      <c r="C51" s="106"/>
      <c r="D51" s="105" t="s">
        <v>23</v>
      </c>
      <c r="E51" s="103" t="s">
        <v>44</v>
      </c>
      <c r="F51" s="111"/>
      <c r="G51" s="111">
        <f>G49+G50</f>
        <v>5125500000</v>
      </c>
      <c r="H51" s="106"/>
      <c r="I51" s="118"/>
    </row>
    <row r="52" spans="1:12" s="80" customFormat="1" x14ac:dyDescent="0.25">
      <c r="A52" s="106"/>
      <c r="B52" s="113"/>
      <c r="C52" s="106"/>
      <c r="D52" s="106" t="s">
        <v>104</v>
      </c>
      <c r="E52" s="113" t="s">
        <v>98</v>
      </c>
      <c r="F52" s="111"/>
      <c r="G52" s="111">
        <f>SUM(G53:G55)</f>
        <v>2050200000</v>
      </c>
      <c r="H52" s="106"/>
      <c r="I52" s="118"/>
    </row>
    <row r="53" spans="1:12" s="80" customFormat="1" x14ac:dyDescent="0.25">
      <c r="A53" s="105"/>
      <c r="B53" s="103"/>
      <c r="C53" s="106"/>
      <c r="D53" s="105" t="s">
        <v>23</v>
      </c>
      <c r="E53" s="103" t="s">
        <v>8</v>
      </c>
      <c r="F53" s="111"/>
      <c r="G53" s="111">
        <f>G49/5</f>
        <v>268000000</v>
      </c>
      <c r="H53" s="106"/>
      <c r="I53" s="118"/>
    </row>
    <row r="54" spans="1:12" s="80" customFormat="1" x14ac:dyDescent="0.25">
      <c r="A54" s="105"/>
      <c r="B54" s="103"/>
      <c r="C54" s="106"/>
      <c r="D54" s="105" t="s">
        <v>23</v>
      </c>
      <c r="E54" s="103" t="s">
        <v>9</v>
      </c>
      <c r="F54" s="111"/>
      <c r="G54" s="111">
        <f>G50/5</f>
        <v>757100000</v>
      </c>
      <c r="H54" s="106"/>
      <c r="I54" s="118"/>
    </row>
    <row r="55" spans="1:12" s="80" customFormat="1" x14ac:dyDescent="0.25">
      <c r="A55" s="105"/>
      <c r="B55" s="103"/>
      <c r="C55" s="106"/>
      <c r="D55" s="105" t="s">
        <v>23</v>
      </c>
      <c r="E55" s="103" t="s">
        <v>44</v>
      </c>
      <c r="F55" s="111"/>
      <c r="G55" s="111">
        <f>G51/5</f>
        <v>1025100000</v>
      </c>
      <c r="H55" s="106"/>
      <c r="I55" s="118"/>
    </row>
    <row r="56" spans="1:12" s="86" customFormat="1" ht="35.25" x14ac:dyDescent="0.25">
      <c r="A56" s="102"/>
      <c r="B56" s="103"/>
      <c r="C56" s="102"/>
      <c r="D56" s="99">
        <v>2</v>
      </c>
      <c r="E56" s="28" t="s">
        <v>132</v>
      </c>
      <c r="F56" s="114"/>
      <c r="G56" s="114">
        <f>SUM(G57:G59)</f>
        <v>13385066666.666666</v>
      </c>
      <c r="H56" s="102"/>
      <c r="I56" s="118"/>
    </row>
    <row r="57" spans="1:12" s="80" customFormat="1" x14ac:dyDescent="0.25">
      <c r="A57" s="105"/>
      <c r="B57" s="103"/>
      <c r="C57" s="115"/>
      <c r="D57" s="105" t="s">
        <v>23</v>
      </c>
      <c r="E57" s="103" t="s">
        <v>8</v>
      </c>
      <c r="F57" s="111"/>
      <c r="G57" s="112">
        <v>1340000000</v>
      </c>
      <c r="H57" s="106"/>
      <c r="I57" s="118">
        <f>(I10+I15+I19+I23+I32+I35)/6</f>
        <v>3.2222222222222228</v>
      </c>
    </row>
    <row r="58" spans="1:12" s="80" customFormat="1" x14ac:dyDescent="0.25">
      <c r="A58" s="105"/>
      <c r="B58" s="103"/>
      <c r="C58" s="115"/>
      <c r="D58" s="105" t="s">
        <v>23</v>
      </c>
      <c r="E58" s="103" t="s">
        <v>9</v>
      </c>
      <c r="F58" s="111"/>
      <c r="G58" s="112">
        <f>C42*I58</f>
        <v>5352533333.333333</v>
      </c>
      <c r="H58" s="106"/>
      <c r="I58" s="118">
        <f>(I11+I16+I20+I24+I33+I35)/6</f>
        <v>2.6666666666666665</v>
      </c>
    </row>
    <row r="59" spans="1:12" s="80" customFormat="1" x14ac:dyDescent="0.25">
      <c r="A59" s="105"/>
      <c r="B59" s="103"/>
      <c r="C59" s="115"/>
      <c r="D59" s="105" t="s">
        <v>23</v>
      </c>
      <c r="E59" s="103" t="s">
        <v>44</v>
      </c>
      <c r="F59" s="111"/>
      <c r="G59" s="111">
        <f>G57+G58</f>
        <v>6692533333.333333</v>
      </c>
      <c r="H59" s="106"/>
      <c r="I59" s="118"/>
    </row>
    <row r="60" spans="1:12" s="80" customFormat="1" x14ac:dyDescent="0.25">
      <c r="A60" s="106"/>
      <c r="B60" s="113"/>
      <c r="C60" s="106"/>
      <c r="D60" s="106" t="s">
        <v>104</v>
      </c>
      <c r="E60" s="113" t="s">
        <v>98</v>
      </c>
      <c r="F60" s="111"/>
      <c r="G60" s="111">
        <f>SUM(G61:G63)</f>
        <v>2677013333.333333</v>
      </c>
      <c r="H60" s="106"/>
      <c r="I60" s="96"/>
    </row>
    <row r="61" spans="1:12" s="80" customFormat="1" x14ac:dyDescent="0.25">
      <c r="A61" s="105"/>
      <c r="B61" s="103"/>
      <c r="C61" s="106"/>
      <c r="D61" s="105" t="s">
        <v>23</v>
      </c>
      <c r="E61" s="103" t="s">
        <v>8</v>
      </c>
      <c r="F61" s="111"/>
      <c r="G61" s="111">
        <f>G57/5</f>
        <v>268000000</v>
      </c>
      <c r="H61" s="106"/>
      <c r="I61" s="96"/>
    </row>
    <row r="62" spans="1:12" s="80" customFormat="1" x14ac:dyDescent="0.25">
      <c r="A62" s="105"/>
      <c r="B62" s="103"/>
      <c r="C62" s="106"/>
      <c r="D62" s="105" t="s">
        <v>23</v>
      </c>
      <c r="E62" s="103" t="s">
        <v>9</v>
      </c>
      <c r="F62" s="111"/>
      <c r="G62" s="111">
        <f>G58/5</f>
        <v>1070506666.6666666</v>
      </c>
      <c r="H62" s="106"/>
      <c r="I62" s="96"/>
    </row>
    <row r="63" spans="1:12" s="80" customFormat="1" x14ac:dyDescent="0.25">
      <c r="A63" s="105"/>
      <c r="B63" s="103"/>
      <c r="C63" s="106"/>
      <c r="D63" s="105" t="s">
        <v>23</v>
      </c>
      <c r="E63" s="103" t="s">
        <v>44</v>
      </c>
      <c r="F63" s="111"/>
      <c r="G63" s="111">
        <f>G59/5</f>
        <v>1338506666.6666665</v>
      </c>
      <c r="H63" s="106"/>
      <c r="I63" s="107"/>
    </row>
    <row r="64" spans="1:12" x14ac:dyDescent="0.25">
      <c r="A64" s="33"/>
      <c r="B64" s="34"/>
      <c r="C64" s="33"/>
      <c r="D64" s="99"/>
      <c r="E64" s="28" t="s">
        <v>119</v>
      </c>
      <c r="F64" s="114"/>
      <c r="G64" s="114">
        <v>13385000000</v>
      </c>
      <c r="H64" s="102"/>
      <c r="I64" s="96"/>
      <c r="L64" s="87">
        <f>G64-G48</f>
        <v>3134000000</v>
      </c>
    </row>
    <row r="65" spans="1:12" x14ac:dyDescent="0.25">
      <c r="A65" s="33"/>
      <c r="B65" s="34"/>
      <c r="C65" s="33"/>
      <c r="D65" s="105" t="s">
        <v>23</v>
      </c>
      <c r="E65" s="103" t="s">
        <v>8</v>
      </c>
      <c r="F65" s="111"/>
      <c r="G65" s="112">
        <v>1340000000</v>
      </c>
      <c r="H65" s="106"/>
      <c r="I65" s="96"/>
    </row>
    <row r="66" spans="1:12" x14ac:dyDescent="0.25">
      <c r="A66" s="33"/>
      <c r="B66" s="34"/>
      <c r="C66" s="33"/>
      <c r="D66" s="105" t="s">
        <v>23</v>
      </c>
      <c r="E66" s="103" t="s">
        <v>9</v>
      </c>
      <c r="F66" s="111"/>
      <c r="G66" s="112">
        <v>5352500000</v>
      </c>
      <c r="H66" s="106"/>
      <c r="I66" s="96"/>
    </row>
    <row r="67" spans="1:12" x14ac:dyDescent="0.25">
      <c r="A67" s="33"/>
      <c r="B67" s="34"/>
      <c r="C67" s="33"/>
      <c r="D67" s="105" t="s">
        <v>23</v>
      </c>
      <c r="E67" s="103" t="s">
        <v>44</v>
      </c>
      <c r="F67" s="111"/>
      <c r="G67" s="111">
        <f>G65+G66</f>
        <v>6692500000</v>
      </c>
      <c r="H67" s="106"/>
      <c r="I67" s="96"/>
    </row>
    <row r="68" spans="1:12" x14ac:dyDescent="0.25">
      <c r="A68" s="33"/>
      <c r="B68" s="34"/>
      <c r="C68" s="33"/>
      <c r="D68" s="106" t="s">
        <v>104</v>
      </c>
      <c r="E68" s="113" t="s">
        <v>98</v>
      </c>
      <c r="F68" s="111"/>
      <c r="G68" s="111">
        <f>SUM(G69:G71)</f>
        <v>2677000000</v>
      </c>
      <c r="H68" s="106"/>
      <c r="I68" s="96"/>
      <c r="K68" s="1">
        <f>G68/G52</f>
        <v>1.3057262706077455</v>
      </c>
      <c r="L68" s="87">
        <f>G68-G52</f>
        <v>626800000</v>
      </c>
    </row>
    <row r="69" spans="1:12" x14ac:dyDescent="0.25">
      <c r="A69" s="33"/>
      <c r="B69" s="34"/>
      <c r="C69" s="33"/>
      <c r="D69" s="105" t="s">
        <v>23</v>
      </c>
      <c r="E69" s="103" t="s">
        <v>8</v>
      </c>
      <c r="F69" s="111"/>
      <c r="G69" s="111">
        <f>G65/5</f>
        <v>268000000</v>
      </c>
      <c r="H69" s="106"/>
      <c r="I69" s="96"/>
    </row>
    <row r="70" spans="1:12" x14ac:dyDescent="0.25">
      <c r="A70" s="33"/>
      <c r="B70" s="34"/>
      <c r="C70" s="33"/>
      <c r="D70" s="105" t="s">
        <v>23</v>
      </c>
      <c r="E70" s="103" t="s">
        <v>9</v>
      </c>
      <c r="F70" s="111"/>
      <c r="G70" s="111">
        <f>G66/5</f>
        <v>1070500000</v>
      </c>
      <c r="H70" s="106"/>
      <c r="I70" s="96"/>
      <c r="K70" s="1">
        <f>G70/G54</f>
        <v>1.4139479593184521</v>
      </c>
    </row>
    <row r="71" spans="1:12" x14ac:dyDescent="0.25">
      <c r="A71" s="33"/>
      <c r="B71" s="34"/>
      <c r="C71" s="33"/>
      <c r="D71" s="105" t="s">
        <v>23</v>
      </c>
      <c r="E71" s="103" t="s">
        <v>44</v>
      </c>
      <c r="F71" s="111"/>
      <c r="G71" s="111">
        <f>G67/5</f>
        <v>1338500000</v>
      </c>
      <c r="H71" s="106"/>
      <c r="I71" s="107"/>
      <c r="K71" s="1">
        <f>G71/G55</f>
        <v>1.3057262706077455</v>
      </c>
    </row>
    <row r="72" spans="1:12" x14ac:dyDescent="0.25">
      <c r="A72" s="116"/>
      <c r="B72" s="117"/>
      <c r="C72" s="116"/>
      <c r="D72" s="123">
        <v>3</v>
      </c>
      <c r="E72" s="127" t="s">
        <v>133</v>
      </c>
      <c r="F72" s="116"/>
      <c r="G72" s="128">
        <f>G64-G48</f>
        <v>3134000000</v>
      </c>
      <c r="H72" s="129"/>
      <c r="I72" s="117"/>
    </row>
  </sheetData>
  <mergeCells count="9">
    <mergeCell ref="A1:I1"/>
    <mergeCell ref="A2:I2"/>
    <mergeCell ref="A5:A6"/>
    <mergeCell ref="B5:C5"/>
    <mergeCell ref="D5:D6"/>
    <mergeCell ref="E5:E6"/>
    <mergeCell ref="H5:H6"/>
    <mergeCell ref="I5:I6"/>
    <mergeCell ref="D3:H3"/>
  </mergeCells>
  <pageMargins left="0.7" right="0.49" top="0.75" bottom="0.75" header="0.3" footer="0.3"/>
  <pageSetup paperSize="9" orientation="landscape" horizontalDpi="300" verticalDpi="300" r:id="rId1"/>
  <headerFooter differentFirst="1">
    <oddHeader>&amp;C&amp;P</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6147A30-215B-44E9-9CDA-A488989178C1}"/>
</file>

<file path=customXml/itemProps2.xml><?xml version="1.0" encoding="utf-8"?>
<ds:datastoreItem xmlns:ds="http://schemas.openxmlformats.org/officeDocument/2006/customXml" ds:itemID="{185EAF32-0E11-4048-90D3-59E650252CCB}"/>
</file>

<file path=customXml/itemProps3.xml><?xml version="1.0" encoding="utf-8"?>
<ds:datastoreItem xmlns:ds="http://schemas.openxmlformats.org/officeDocument/2006/customXml" ds:itemID="{500D9836-B12C-4375-8D23-7F0028174F4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PL1 Chi tiết đã chi 2019-2023</vt:lpstr>
      <vt:lpstr>PL2 Tham khảo các tỉnh</vt:lpstr>
      <vt:lpstr>PL3 Tỷ lệ tăng</vt:lpstr>
      <vt:lpstr>PL kèm theo BC TĐCS</vt:lpstr>
      <vt:lpstr>'PL kèm theo BC TĐCS'!Print_Area</vt:lpstr>
      <vt:lpstr>'PL1 Chi tiết đã chi 2019-2023'!Print_Area</vt:lpstr>
      <vt:lpstr>'PL2 Tham khảo các tỉnh'!Print_Area</vt:lpstr>
      <vt:lpstr>'PL3 Tỷ lệ tăng'!Print_Area</vt:lpstr>
      <vt:lpstr>'PL kèm theo BC TĐCS'!Print_Titles</vt:lpstr>
      <vt:lpstr>'PL1 Chi tiết đã chi 2019-2023'!Print_Titles</vt:lpstr>
      <vt:lpstr>'PL2 Tham khảo các tỉnh'!Print_Titles</vt:lpstr>
      <vt:lpstr>'PL3 Tỷ lệ tăng'!Print_Titles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DinhPhanNhatHuy</dc:creator>
  <cp:lastModifiedBy>DinhPhanNhatHuy</cp:lastModifiedBy>
  <cp:lastPrinted>2024-11-11T04:10:21Z</cp:lastPrinted>
  <dcterms:created xsi:type="dcterms:W3CDTF">2024-07-25T01:21:48Z</dcterms:created>
  <dcterms:modified xsi:type="dcterms:W3CDTF">2025-01-13T08:43:47Z</dcterms:modified>
</cp:coreProperties>
</file>