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760" yWindow="32760" windowWidth="23040" windowHeight="9060" activeTab="3"/>
  </bookViews>
  <sheets>
    <sheet name="DT CHI PHÍ 01HA" sheetId="1" r:id="rId1"/>
    <sheet name="Chi phí 1 cây" sheetId="5" r:id="rId2"/>
    <sheet name="ĐƠN GIÁ BT THEO ĐK" sheetId="7" r:id="rId3"/>
    <sheet name="ĐƠN GIÁ THEO NHÓM GỖ" sheetId="8" r:id="rId4"/>
    <sheet name="Sheet2" sheetId="9" r:id="rId5"/>
  </sheets>
  <definedNames>
    <definedName name="_xlnm.Print_Titles" localSheetId="3">'ĐƠN GIÁ THEO NHÓM GỖ'!$3:$3</definedName>
    <definedName name="_xlnm.Print_Titles" localSheetId="0">'DT CHI PHÍ 01HA'!#REF!</definedName>
  </definedNames>
  <calcPr calcId="144525" iterateDelta="0"/>
</workbook>
</file>

<file path=xl/calcChain.xml><?xml version="1.0" encoding="utf-8"?>
<calcChain xmlns="http://schemas.openxmlformats.org/spreadsheetml/2006/main">
  <c r="C4" i="9" l="1"/>
  <c r="C5" i="9"/>
  <c r="C6" i="9"/>
  <c r="C7" i="9"/>
  <c r="C8" i="9"/>
  <c r="C9" i="9"/>
  <c r="C10" i="9"/>
  <c r="C11" i="9"/>
  <c r="C12" i="9"/>
  <c r="C15" i="9"/>
  <c r="C16" i="9"/>
  <c r="C17" i="9"/>
  <c r="C3" i="9"/>
  <c r="D5" i="8"/>
  <c r="D6" i="8"/>
  <c r="D7" i="8"/>
  <c r="D8" i="8"/>
  <c r="D9" i="8"/>
  <c r="D10" i="8"/>
  <c r="D11" i="8"/>
  <c r="D12" i="8"/>
  <c r="D13" i="8"/>
  <c r="D16" i="8"/>
  <c r="D17" i="8"/>
  <c r="D18" i="8"/>
  <c r="D4" i="8"/>
  <c r="I11" i="5"/>
  <c r="I12" i="5"/>
  <c r="I13" i="5"/>
  <c r="I14" i="5"/>
  <c r="I15" i="5"/>
  <c r="I16" i="5"/>
  <c r="I17" i="5"/>
  <c r="I18" i="5"/>
  <c r="I19" i="5"/>
  <c r="I20" i="5"/>
  <c r="I21" i="5"/>
  <c r="I22" i="5"/>
  <c r="I23" i="5"/>
  <c r="I24" i="5"/>
  <c r="I25" i="5"/>
  <c r="I26" i="5"/>
  <c r="I27" i="5"/>
  <c r="I28" i="5"/>
  <c r="I29" i="5"/>
  <c r="I30" i="5"/>
  <c r="I31" i="5"/>
  <c r="I32" i="5"/>
  <c r="I33" i="5"/>
  <c r="I34" i="5"/>
  <c r="I35" i="5"/>
  <c r="I10" i="5"/>
  <c r="D85" i="8" l="1"/>
  <c r="D86" i="8"/>
  <c r="D87" i="8"/>
  <c r="D88" i="8"/>
  <c r="D89" i="8"/>
  <c r="D90" i="8"/>
  <c r="D91" i="8"/>
  <c r="D92" i="8"/>
  <c r="D93" i="8"/>
  <c r="D96" i="8"/>
  <c r="D97" i="8"/>
  <c r="D98" i="8"/>
  <c r="D84" i="8"/>
  <c r="D69" i="8"/>
  <c r="D70" i="8"/>
  <c r="D71" i="8"/>
  <c r="D72" i="8"/>
  <c r="D73" i="8"/>
  <c r="D74" i="8"/>
  <c r="D75" i="8"/>
  <c r="D76" i="8"/>
  <c r="D77" i="8"/>
  <c r="D80" i="8"/>
  <c r="D81" i="8"/>
  <c r="D82" i="8"/>
  <c r="D68" i="8"/>
  <c r="D53" i="8"/>
  <c r="D54" i="8"/>
  <c r="D55" i="8"/>
  <c r="D56" i="8"/>
  <c r="D57" i="8"/>
  <c r="D58" i="8"/>
  <c r="D59" i="8"/>
  <c r="D60" i="8"/>
  <c r="D61" i="8"/>
  <c r="D64" i="8"/>
  <c r="D65" i="8"/>
  <c r="D66" i="8"/>
  <c r="D52" i="8"/>
  <c r="D37" i="8"/>
  <c r="D38" i="8"/>
  <c r="D39" i="8"/>
  <c r="D40" i="8"/>
  <c r="D41" i="8"/>
  <c r="D42" i="8"/>
  <c r="D43" i="8"/>
  <c r="D44" i="8"/>
  <c r="D45" i="8"/>
  <c r="D48" i="8"/>
  <c r="D49" i="8"/>
  <c r="D50" i="8"/>
  <c r="D36" i="8"/>
  <c r="D21" i="8"/>
  <c r="D22" i="8"/>
  <c r="D23" i="8"/>
  <c r="D24" i="8"/>
  <c r="D25" i="8"/>
  <c r="D26" i="8"/>
  <c r="D27" i="8"/>
  <c r="D28" i="8"/>
  <c r="D29" i="8"/>
  <c r="D32" i="8"/>
  <c r="D33" i="8"/>
  <c r="D34" i="8"/>
  <c r="D20" i="8"/>
  <c r="H4" i="9" l="1"/>
  <c r="H5" i="9"/>
  <c r="H6" i="9"/>
  <c r="H7" i="9"/>
  <c r="H8" i="9"/>
  <c r="H9" i="9"/>
  <c r="H10" i="9"/>
  <c r="H11" i="9"/>
  <c r="H12" i="9"/>
  <c r="H15" i="9"/>
  <c r="H16" i="9"/>
  <c r="H17" i="9"/>
  <c r="H3" i="9"/>
  <c r="G4" i="9"/>
  <c r="G5" i="9"/>
  <c r="G6" i="9"/>
  <c r="G7" i="9"/>
  <c r="G8" i="9"/>
  <c r="G9" i="9"/>
  <c r="G10" i="9"/>
  <c r="G11" i="9"/>
  <c r="G12" i="9"/>
  <c r="G15" i="9"/>
  <c r="G16" i="9"/>
  <c r="G17" i="9"/>
  <c r="G3" i="9"/>
  <c r="F4" i="9"/>
  <c r="F5" i="9"/>
  <c r="F6" i="9"/>
  <c r="F7" i="9"/>
  <c r="F8" i="9"/>
  <c r="F9" i="9"/>
  <c r="F10" i="9"/>
  <c r="F11" i="9"/>
  <c r="F12" i="9"/>
  <c r="F15" i="9"/>
  <c r="F16" i="9"/>
  <c r="F17" i="9"/>
  <c r="F3" i="9"/>
  <c r="E4" i="9"/>
  <c r="E5" i="9"/>
  <c r="E6" i="9"/>
  <c r="E7" i="9"/>
  <c r="E8" i="9"/>
  <c r="E9" i="9"/>
  <c r="E10" i="9"/>
  <c r="E11" i="9"/>
  <c r="E12" i="9"/>
  <c r="E15" i="9"/>
  <c r="E16" i="9"/>
  <c r="E17" i="9"/>
  <c r="E3" i="9"/>
  <c r="D4" i="9"/>
  <c r="D5" i="9"/>
  <c r="D6" i="9"/>
  <c r="D7" i="9"/>
  <c r="D8" i="9"/>
  <c r="D9" i="9"/>
  <c r="D10" i="9"/>
  <c r="D11" i="9"/>
  <c r="D12" i="9"/>
  <c r="D15" i="9"/>
  <c r="D16" i="9"/>
  <c r="D17" i="9"/>
  <c r="D3" i="9"/>
  <c r="C7" i="5" l="1"/>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6" i="5"/>
  <c r="G79" i="1" l="1"/>
  <c r="E78" i="1"/>
  <c r="G78" i="1" s="1"/>
  <c r="G77" i="1" l="1"/>
  <c r="D11" i="5" s="1"/>
  <c r="E11" i="5" s="1"/>
  <c r="G76" i="1"/>
  <c r="E75" i="1"/>
  <c r="G75" i="1" s="1"/>
  <c r="E74" i="1"/>
  <c r="G74" i="1" s="1"/>
  <c r="E73" i="1"/>
  <c r="G73" i="1" s="1"/>
  <c r="E72" i="1"/>
  <c r="G72" i="1" s="1"/>
  <c r="E71" i="1"/>
  <c r="G71" i="1" s="1"/>
  <c r="E70" i="1"/>
  <c r="G70" i="1" s="1"/>
  <c r="G68" i="1"/>
  <c r="E67" i="1"/>
  <c r="G67" i="1" s="1"/>
  <c r="E66" i="1"/>
  <c r="G66" i="1" s="1"/>
  <c r="E65" i="1"/>
  <c r="G65" i="1" s="1"/>
  <c r="E64" i="1"/>
  <c r="G64" i="1" s="1"/>
  <c r="E63" i="1"/>
  <c r="G63" i="1" s="1"/>
  <c r="E62" i="1"/>
  <c r="G62" i="1" s="1"/>
  <c r="G69" i="1" l="1"/>
  <c r="D10" i="5" s="1"/>
  <c r="E10" i="5" s="1"/>
  <c r="D12" i="5"/>
  <c r="E69" i="1"/>
  <c r="D13" i="5" l="1"/>
  <c r="E12" i="5"/>
  <c r="E36" i="1"/>
  <c r="G36" i="1" s="1"/>
  <c r="E48" i="1"/>
  <c r="E59" i="1"/>
  <c r="G59" i="1" s="1"/>
  <c r="E58" i="1"/>
  <c r="G58" i="1" s="1"/>
  <c r="E57" i="1"/>
  <c r="G57" i="1" s="1"/>
  <c r="E56" i="1"/>
  <c r="G56" i="1" s="1"/>
  <c r="E55" i="1"/>
  <c r="G55" i="1" s="1"/>
  <c r="E54" i="1"/>
  <c r="E50" i="1"/>
  <c r="G50" i="1" s="1"/>
  <c r="E49" i="1"/>
  <c r="G49" i="1" s="1"/>
  <c r="E47" i="1"/>
  <c r="G47" i="1" s="1"/>
  <c r="E46" i="1"/>
  <c r="G46" i="1" s="1"/>
  <c r="E43" i="1"/>
  <c r="G43" i="1" s="1"/>
  <c r="E42" i="1"/>
  <c r="G42" i="1" s="1"/>
  <c r="E41" i="1"/>
  <c r="G41" i="1" s="1"/>
  <c r="E39" i="1"/>
  <c r="G39" i="1" s="1"/>
  <c r="E35" i="1"/>
  <c r="G35" i="1" s="1"/>
  <c r="E26" i="1"/>
  <c r="G26" i="1" s="1"/>
  <c r="E25" i="1"/>
  <c r="G25" i="1" s="1"/>
  <c r="E24" i="1"/>
  <c r="G24" i="1" s="1"/>
  <c r="E34" i="1"/>
  <c r="G34" i="1" s="1"/>
  <c r="E33" i="1"/>
  <c r="G33" i="1" s="1"/>
  <c r="E32" i="1"/>
  <c r="G32" i="1" s="1"/>
  <c r="G19" i="1"/>
  <c r="E22" i="1"/>
  <c r="E21" i="1"/>
  <c r="E20" i="1"/>
  <c r="E37" i="1" s="1"/>
  <c r="G60" i="1"/>
  <c r="G52" i="1"/>
  <c r="E51" i="1"/>
  <c r="G51" i="1" s="1"/>
  <c r="G44" i="1"/>
  <c r="F20" i="1"/>
  <c r="F21" i="1" s="1"/>
  <c r="G48" i="1"/>
  <c r="D14" i="5" l="1"/>
  <c r="E13" i="5"/>
  <c r="E61" i="1"/>
  <c r="E23" i="1"/>
  <c r="E53" i="1"/>
  <c r="G54" i="1"/>
  <c r="G53" i="1" s="1"/>
  <c r="D8" i="5" s="1"/>
  <c r="E8" i="5" s="1"/>
  <c r="E45" i="1"/>
  <c r="G20" i="1"/>
  <c r="G23" i="1"/>
  <c r="G61" i="1"/>
  <c r="D9" i="5" s="1"/>
  <c r="E9" i="5" s="1"/>
  <c r="G45" i="1"/>
  <c r="D7" i="5" s="1"/>
  <c r="E7" i="5" s="1"/>
  <c r="F22" i="1"/>
  <c r="G22" i="1" s="1"/>
  <c r="G21" i="1"/>
  <c r="E31" i="1"/>
  <c r="G37" i="1"/>
  <c r="G31" i="1" s="1"/>
  <c r="E18" i="1"/>
  <c r="E28" i="1" s="1"/>
  <c r="G28" i="1" s="1"/>
  <c r="G27" i="1" s="1"/>
  <c r="D15" i="5" l="1"/>
  <c r="E14" i="5"/>
  <c r="G18" i="1"/>
  <c r="G17" i="1" s="1"/>
  <c r="E40" i="1"/>
  <c r="D16" i="5" l="1"/>
  <c r="E15" i="5"/>
  <c r="G40" i="1"/>
  <c r="G38" i="1" s="1"/>
  <c r="E38" i="1"/>
  <c r="E30" i="1" s="1"/>
  <c r="D17" i="5" l="1"/>
  <c r="E16" i="5"/>
  <c r="G30" i="1"/>
  <c r="D6" i="5"/>
  <c r="E6" i="5" s="1"/>
  <c r="F6" i="5" s="1"/>
  <c r="G29" i="1"/>
  <c r="G16" i="1" s="1"/>
  <c r="E29" i="1"/>
  <c r="J6" i="5" l="1"/>
  <c r="F7" i="5"/>
  <c r="F8" i="5"/>
  <c r="D18" i="5"/>
  <c r="E17" i="5"/>
  <c r="J8" i="5" l="1"/>
  <c r="J7" i="5"/>
  <c r="F9" i="5"/>
  <c r="D19" i="5"/>
  <c r="E18" i="5"/>
  <c r="D4" i="7" l="1"/>
  <c r="J9" i="5"/>
  <c r="F10" i="5"/>
  <c r="E19" i="5"/>
  <c r="D20" i="5"/>
  <c r="D5" i="7" l="1"/>
  <c r="G10" i="5"/>
  <c r="J10" i="5"/>
  <c r="F11" i="5"/>
  <c r="E20" i="5"/>
  <c r="D21" i="5"/>
  <c r="G11" i="5" l="1"/>
  <c r="J11" i="5"/>
  <c r="F12" i="5"/>
  <c r="D22" i="5"/>
  <c r="E21" i="5"/>
  <c r="D6" i="7" l="1"/>
  <c r="G12" i="5"/>
  <c r="J12" i="5" s="1"/>
  <c r="F13" i="5"/>
  <c r="E22" i="5"/>
  <c r="D23" i="5"/>
  <c r="G13" i="5" l="1"/>
  <c r="J13" i="5"/>
  <c r="D7" i="7" s="1"/>
  <c r="F14" i="5"/>
  <c r="E23" i="5"/>
  <c r="D24" i="5"/>
  <c r="G14" i="5" l="1"/>
  <c r="J14" i="5"/>
  <c r="F15" i="5"/>
  <c r="E24" i="5"/>
  <c r="D25" i="5"/>
  <c r="G15" i="5" l="1"/>
  <c r="J15" i="5"/>
  <c r="F16" i="5"/>
  <c r="E25" i="5"/>
  <c r="D26" i="5"/>
  <c r="G16" i="5" l="1"/>
  <c r="J16" i="5" s="1"/>
  <c r="D8" i="7"/>
  <c r="F17" i="5"/>
  <c r="E26" i="5"/>
  <c r="D27" i="5"/>
  <c r="G17" i="5" l="1"/>
  <c r="J17" i="5" s="1"/>
  <c r="F18" i="5"/>
  <c r="E27" i="5"/>
  <c r="D28" i="5"/>
  <c r="D9" i="7" l="1"/>
  <c r="G18" i="5"/>
  <c r="J18" i="5" s="1"/>
  <c r="F19" i="5"/>
  <c r="E28" i="5"/>
  <c r="D29" i="5"/>
  <c r="G19" i="5" l="1"/>
  <c r="J19" i="5" s="1"/>
  <c r="D10" i="7" s="1"/>
  <c r="F20" i="5"/>
  <c r="E29" i="5"/>
  <c r="D30" i="5"/>
  <c r="G20" i="5" l="1"/>
  <c r="J20" i="5" s="1"/>
  <c r="F21" i="5"/>
  <c r="E30" i="5"/>
  <c r="D31" i="5"/>
  <c r="G21" i="5" l="1"/>
  <c r="J21" i="5" s="1"/>
  <c r="F22" i="5"/>
  <c r="E31" i="5"/>
  <c r="D32" i="5"/>
  <c r="D11" i="7" l="1"/>
  <c r="G22" i="5"/>
  <c r="J22" i="5"/>
  <c r="F23" i="5"/>
  <c r="E32" i="5"/>
  <c r="D33" i="5"/>
  <c r="G23" i="5" l="1"/>
  <c r="J23" i="5"/>
  <c r="F24" i="5"/>
  <c r="E33" i="5"/>
  <c r="D34" i="5"/>
  <c r="G24" i="5" l="1"/>
  <c r="J24" i="5"/>
  <c r="D12" i="7"/>
  <c r="F25" i="5"/>
  <c r="D35" i="5"/>
  <c r="E35" i="5" s="1"/>
  <c r="E34" i="5"/>
  <c r="G25" i="5" l="1"/>
  <c r="J25" i="5"/>
  <c r="F26" i="5"/>
  <c r="D13" i="7" l="1"/>
  <c r="G26" i="5"/>
  <c r="J26" i="5" s="1"/>
  <c r="F27" i="5"/>
  <c r="G27" i="5" l="1"/>
  <c r="J27" i="5"/>
  <c r="F28" i="5"/>
  <c r="G28" i="5" l="1"/>
  <c r="J28" i="5" s="1"/>
  <c r="D14" i="7"/>
  <c r="F29" i="5"/>
  <c r="C13" i="9" l="1"/>
  <c r="D14" i="8"/>
  <c r="G29" i="5"/>
  <c r="J29" i="5" s="1"/>
  <c r="F30" i="5"/>
  <c r="D78" i="8" l="1"/>
  <c r="D62" i="8"/>
  <c r="D46" i="8"/>
  <c r="D94" i="8"/>
  <c r="D30" i="8"/>
  <c r="E13" i="9"/>
  <c r="H13" i="9"/>
  <c r="D13" i="9"/>
  <c r="G13" i="9"/>
  <c r="F13" i="9"/>
  <c r="D15" i="7"/>
  <c r="G30" i="5"/>
  <c r="J30" i="5" s="1"/>
  <c r="F31" i="5"/>
  <c r="D15" i="8" l="1"/>
  <c r="C14" i="9"/>
  <c r="G31" i="5"/>
  <c r="J31" i="5" s="1"/>
  <c r="F32" i="5"/>
  <c r="E14" i="9" l="1"/>
  <c r="H14" i="9"/>
  <c r="D14" i="9"/>
  <c r="G14" i="9"/>
  <c r="F14" i="9"/>
  <c r="D79" i="8"/>
  <c r="D63" i="8"/>
  <c r="D95" i="8"/>
  <c r="D31" i="8"/>
  <c r="D47" i="8"/>
  <c r="D16" i="7"/>
  <c r="G32" i="5"/>
  <c r="J32" i="5" s="1"/>
  <c r="F33" i="5"/>
  <c r="G33" i="5" l="1"/>
  <c r="J33" i="5" s="1"/>
  <c r="F34" i="5"/>
  <c r="D17" i="7" l="1"/>
  <c r="G34" i="5"/>
  <c r="J34" i="5" s="1"/>
  <c r="F35" i="5"/>
  <c r="G35" i="5" l="1"/>
  <c r="J35" i="5"/>
  <c r="D18" i="7" s="1"/>
</calcChain>
</file>

<file path=xl/sharedStrings.xml><?xml version="1.0" encoding="utf-8"?>
<sst xmlns="http://schemas.openxmlformats.org/spreadsheetml/2006/main" count="450" uniqueCount="179">
  <si>
    <t>Căn cứ xây dựng dự toán</t>
  </si>
  <si>
    <t>TT</t>
  </si>
  <si>
    <t>Hạng mục</t>
  </si>
  <si>
    <t>Chi phí 1 ha</t>
  </si>
  <si>
    <t>ĐVT</t>
  </si>
  <si>
    <t>Định
 mức</t>
  </si>
  <si>
    <t>Đơn giá (đồng)</t>
  </si>
  <si>
    <t>Thành tiền (đồng/ha)</t>
  </si>
  <si>
    <t>Chi phí trực tiếp</t>
  </si>
  <si>
    <t>Phần chi phí vật tư</t>
  </si>
  <si>
    <t>1.1</t>
  </si>
  <si>
    <t>Cây giống</t>
  </si>
  <si>
    <t>cây</t>
  </si>
  <si>
    <t>1.2</t>
  </si>
  <si>
    <t>Phân bón NPK</t>
  </si>
  <si>
    <t>Năm thứ nhất</t>
  </si>
  <si>
    <t>Kg</t>
  </si>
  <si>
    <t>Phân bón được phép lưu hành tại Việt Nam</t>
  </si>
  <si>
    <t>Năm thứ hai</t>
  </si>
  <si>
    <t>Năm thứ ba</t>
  </si>
  <si>
    <t>Phần chi phí máy</t>
  </si>
  <si>
    <t>Vận chuyển cây con từ vườn ươm đến nơi tập kết</t>
  </si>
  <si>
    <t>Không được vỡ bầu</t>
  </si>
  <si>
    <t>Công</t>
  </si>
  <si>
    <t>3.1</t>
  </si>
  <si>
    <t>3.1.1</t>
  </si>
  <si>
    <t>Trồng rừng</t>
  </si>
  <si>
    <t>Phát dọn thực bì toàn diện trên lô (thủ công)</t>
  </si>
  <si>
    <t>Phát thực bì toàn diện, phát sát gốc và băm dập những đoạn ngắn</t>
  </si>
  <si>
    <t>TR.05</t>
  </si>
  <si>
    <t>Cuốc hố theo đúng sơ đồ thiết kế; khi cuốc hố, để phần đất mặt tơi xốp một bên và phần đất phía dưới hố một bên</t>
  </si>
  <si>
    <t>TR.09</t>
  </si>
  <si>
    <t>Lấp hố</t>
  </si>
  <si>
    <t>Vận chuyển và bón phân, thuốc bảo vệ thực vật</t>
  </si>
  <si>
    <t>TR.14</t>
  </si>
  <si>
    <t>Vận chuyển cây con và trồng</t>
  </si>
  <si>
    <t>Vận chuyển cây lên vị trí trồng, rải cây theo hố. Trồng cây ngay ngắn, lấp đất lèn chặt theo hướng dẫn kỹ thuật</t>
  </si>
  <si>
    <t>Vận chuyển cây con và trồng dặm</t>
  </si>
  <si>
    <t>Vận chuyển cây, rải cây theo hố trồng dặm. Trồng cây ngay ngắn, lấp đất lèn chặt theo hướng dẫn kỹ thuật</t>
  </si>
  <si>
    <t>3.1.2</t>
  </si>
  <si>
    <t>Chăm sóc năm thứ nhất</t>
  </si>
  <si>
    <t>TR.27</t>
  </si>
  <si>
    <t>Phát các loại thực bì (dây leo, cỏ dại…) phát sát gốc. Băm dập, rải đều trên toàn bộ diện tích; tỉa một số cành sâu bệnh cong queo</t>
  </si>
  <si>
    <t>TR.31</t>
  </si>
  <si>
    <t>TR.28</t>
  </si>
  <si>
    <t>Như phát chăm sóc lần 1</t>
  </si>
  <si>
    <t>TR.50</t>
  </si>
  <si>
    <t>Bảo vệ rừng</t>
  </si>
  <si>
    <t>3.2</t>
  </si>
  <si>
    <t>TR.29</t>
  </si>
  <si>
    <t>TR.30</t>
  </si>
  <si>
    <t>Năm thứ tư</t>
  </si>
  <si>
    <t>TR.37</t>
  </si>
  <si>
    <t>Phát dọn thực bì và dọn cỏ trên đường băng, xử lý vật liệu cháy ra khỏi đường băng cản lửa</t>
  </si>
  <si>
    <t>Năm thứ năm</t>
  </si>
  <si>
    <t xml:space="preserve"> - Giá cả vật tư, nhân công, chi phí máy thực tế ở thời điểm hiện tại.</t>
  </si>
  <si>
    <t>Dẫy cỏ xung quanh miệng hố, đập nhỏ những cục đất to, cuốc xới đất mặt và lấp hố</t>
  </si>
  <si>
    <t>Vận chuyển phân thuốc bảo vệ thực vật đến hố trồng bón theo đúng tỉ lệ quy định</t>
  </si>
  <si>
    <t>Rẫy sạch cỏ và xới quanh gốc; gốc vun hình mu rùa</t>
  </si>
  <si>
    <t>Phát chăm sóc (lần 1)</t>
  </si>
  <si>
    <t>Phát chăm sóc (lần 2)</t>
  </si>
  <si>
    <t>Làm đường băng trắng cản lửa thủ công</t>
  </si>
  <si>
    <t xml:space="preserve"> - Thông tư số 29/2018/TT-BNNPTNT ngày 16 tháng 11 năm 2018 của Bộ trưởng Bộ Nông nghiệp và Phát triển nông thôn Quy định về các biện pháp lâm sinh;</t>
  </si>
  <si>
    <t xml:space="preserve"> - Thông tư số 17/2022/TT-BNNPTNT ngày 27 tháng 10 năm 2022 của Bộ trưởng Bộ Nông nghiệp và Phát triển nông thôn ban hành Thông tư sửa đổi, bổ sung một số điều của Thông tư số 29/2018/TT-BNNPTNT ngày 16 tháng 11 năm 2018 của Bộ trưởng Bộ Nông nghiệp và Phát triển nông thôn quy định về các biện pháp lâm sinh;</t>
  </si>
  <si>
    <t>Dự toán đơn giá</t>
  </si>
  <si>
    <t>Tiêu chuẩn kỹ thuật</t>
  </si>
  <si>
    <t>Cây giống trồng dặm năm thứ nhất (10%)</t>
  </si>
  <si>
    <t>Cây giống trồng dặm năm thứ 2 (10%)</t>
  </si>
  <si>
    <t>Cây giống trồng dặm năm thứ 3 (10%)</t>
  </si>
  <si>
    <t>Phần chi phí nhân công lao động trực tiếp</t>
  </si>
  <si>
    <t>TR.19</t>
  </si>
  <si>
    <t>TR.26</t>
  </si>
  <si>
    <t>Xới vun gốc đường kính  0,8 - 1,0m (lần 1)</t>
  </si>
  <si>
    <t>Xới vun gốc đường kính  0,8 - 1,0m (lần 2)</t>
  </si>
  <si>
    <t>Canh gác, phát hiện, ngăn ngừa sự phá hoại của người và gia súc, phát hiện sâu bệnh hại, lửa rừng để có biện pháp ngăn chặn kịp thời</t>
  </si>
  <si>
    <t>Tiêu chuẩn kỹ thuật
 như năm thứ nhất</t>
  </si>
  <si>
    <t>Xới vun gốc đường kính từ 0,8 - 1,0m (lần 1)</t>
  </si>
  <si>
    <t>Xới vun gốc đường kính từ 0,8 - 1,0m (lần 2)</t>
  </si>
  <si>
    <t>3.3</t>
  </si>
  <si>
    <t>Tiêu chuẩn kỹ thuật 
như năm thứ hai</t>
  </si>
  <si>
    <t>Xới vun gốc đường kính 0,8 - 1,0m (lần 2)</t>
  </si>
  <si>
    <t>3.4</t>
  </si>
  <si>
    <t>Tiêu chuẩn kỹ thuật 
như năm thứ ba</t>
  </si>
  <si>
    <t>3.5</t>
  </si>
  <si>
    <t>Tiêu chuẩn kỹ thuật 
như năm thứ tư</t>
  </si>
  <si>
    <t>Cây giống trồng chính (833 cây/ha)</t>
  </si>
  <si>
    <t>Theo tiêu chuẩn Việt Nam hoặc cơ sở về cây giống; Dg&gt;0,8 cm, Hvn&gt;1,0m, Bầu 18x 22 cm, tuổi cây &gt;14 tháng, cây cách cây 3m, hàng cách hàng 3m</t>
  </si>
  <si>
    <t>Cuốc hố (50 x50 x50) cm</t>
  </si>
  <si>
    <t>Phụ lục 01</t>
  </si>
  <si>
    <t>Mã hiệu</t>
  </si>
  <si>
    <t>-Thông tư số 10/2021/TT-BXD ngày 25/8/2021 của Bộ Xây dựng Hướng dẫn một số điều và biện pháp thi hành Nghị định số 06/2021/NĐ-CP ngày 26 tháng 01 năm 2021 và Nghị định số 44/2016/NĐ-CP ngày 15 tháng 5 năm 2016 của Chính phủ;</t>
  </si>
  <si>
    <t>- Thông tư số 12/2021/TT-BXD ngày 31 thang 08 năm 2021 của Bộ Xây dựng Ban hành định mức xây dựng;</t>
  </si>
  <si>
    <r>
      <t xml:space="preserve"> - Thông tư số 21/2023/TT-BNNPTNT ngày 15 tháng 12 năm 2023 của Bộ trưởng Bộ Nông nghiệp và Phát triển nông thôn Quy định một số định mức kinh tế - kỹ thuật về Lâm nghiệp (sau đay gọi tắt Thông tư số 21/2023/TT-BNNPTNT), Áp dụng điều kiện độ dốc &lt;20</t>
    </r>
    <r>
      <rPr>
        <vertAlign val="superscript"/>
        <sz val="13"/>
        <rFont val="Times New Roman"/>
        <family val="1"/>
        <charset val="163"/>
      </rPr>
      <t>o</t>
    </r>
    <r>
      <rPr>
        <sz val="13"/>
        <rFont val="Times New Roman"/>
        <family val="1"/>
        <charset val="163"/>
      </rPr>
      <t>, hệ số 1,0 cho đất nhóm 3, thực bì phát vỡ nhóm 2, cự ly di chuyển 1-2km;</t>
    </r>
  </si>
  <si>
    <t xml:space="preserve"> DỰ TOÁN ĐƠN GIÁ TRỒNG RỪNG THAY THẾ TRÊN ĐỊA BÀN TỈNH ĐỒNG NAI ĐỐI VỚI TRỒNG RỪNG TRÊN CẠN
</t>
  </si>
  <si>
    <t xml:space="preserve"> - Quyết định số 08/2024/QĐ-UBND ngày 22 tháng 01 năm 2024 của UBND tỉnh Đồng Nai ban hành đơn giá ngày công lao động trong các hoạt động lâm nghiệp trên địa bàn tỉnh Đồng Nai (sau đây gọi tắt Quyết định 08/2024/QĐ-UBND); áp dụng theo vùng I, phụ cấp khu vực 40%, phụ lục I</t>
  </si>
  <si>
    <t>a</t>
  </si>
  <si>
    <t>b</t>
  </si>
  <si>
    <t>c</t>
  </si>
  <si>
    <t>d</t>
  </si>
  <si>
    <t>TR.01</t>
  </si>
  <si>
    <t>đ</t>
  </si>
  <si>
    <t>e</t>
  </si>
  <si>
    <t>h</t>
  </si>
  <si>
    <t>i</t>
  </si>
  <si>
    <t>- Mật độ trồng: 833 cây/ha (theo thông tư 29/2018/TT-BNN quy định giải pháp lâm sinh thì mật độ trồng rừng phòng hộ trên 600 cây/ha, đặc dụng 500 cây/ha, quy trình trồng rừng gỗ lớn sao, dầu, gõ ... từ 800 cây/ha đến 1100 cây/ha, do đó lấy mật độ trung bình để dự toán là 833 cây/ha, phù hợp quy cách trồng 3 x 4 m; Loài cây trồng, gồm các loài cây gỗ lớn bản địa trồng rừng phòng hộ, đặc dụng gồm: Dầu rái, Sao đen, Giáng hương, gõ đỏ, Trắc ….; kích thước hố trồng (50 x 50 x 50) cm</t>
  </si>
  <si>
    <t>năm thứ 6</t>
  </si>
  <si>
    <t>3.6</t>
  </si>
  <si>
    <t>Quy đổi ra đường kính gốc (cm</t>
  </si>
  <si>
    <t>Ghi chú</t>
  </si>
  <si>
    <t>&gt;3 - 6</t>
  </si>
  <si>
    <t>&gt;6 - 9</t>
  </si>
  <si>
    <t>&gt;9 - 12</t>
  </si>
  <si>
    <t>&gt; 12 - 15</t>
  </si>
  <si>
    <t>&gt; 15 - 18</t>
  </si>
  <si>
    <t>&gt; 18 - 20</t>
  </si>
  <si>
    <t>&gt; 21 - 24</t>
  </si>
  <si>
    <t>&gt; 24 - 27</t>
  </si>
  <si>
    <t>&gt; 27 - 30</t>
  </si>
  <si>
    <t>&gt; 30 - 33</t>
  </si>
  <si>
    <t>&gt; 33- 36</t>
  </si>
  <si>
    <t>&gt; 36 - 39</t>
  </si>
  <si>
    <t>&gt; 39 - 42</t>
  </si>
  <si>
    <t>&gt; 42</t>
  </si>
  <si>
    <r>
      <rPr>
        <sz val="12"/>
        <color theme="1"/>
        <rFont val="Calibri"/>
        <family val="2"/>
      </rPr>
      <t>≤</t>
    </r>
    <r>
      <rPr>
        <sz val="12"/>
        <color theme="1"/>
        <rFont val="Times New Roman"/>
        <family val="1"/>
      </rPr>
      <t xml:space="preserve"> 3</t>
    </r>
  </si>
  <si>
    <t>Tuổi</t>
  </si>
  <si>
    <t>Đường kính quy đổi theo năm (tăng trưởng đường kính bình quân năm đạt 1,5cm/năm)</t>
  </si>
  <si>
    <t>Đơn giá bồi thường (đồng/cây)</t>
  </si>
  <si>
    <t xml:space="preserve">5  = 4 </t>
  </si>
  <si>
    <t>BẢNG DỰ TOÁN ĐƠN GIÁ BỒI THƯỜNG NHÓM LOÀI GỖ LỚN LÂU NĂM</t>
  </si>
  <si>
    <t>Nhóm loài cây Keo</t>
  </si>
  <si>
    <t xml:space="preserve"> ≤ 5</t>
  </si>
  <si>
    <t>≥  5 - 10</t>
  </si>
  <si>
    <t>≥ 10 – 15</t>
  </si>
  <si>
    <t>≥ 15 - 20</t>
  </si>
  <si>
    <t>≥ 20 – 25</t>
  </si>
  <si>
    <t>&gt; 25</t>
  </si>
  <si>
    <t>Nhóm loài cây ngập mặn</t>
  </si>
  <si>
    <t xml:space="preserve"> ≤2</t>
  </si>
  <si>
    <t>&gt;2 - 4</t>
  </si>
  <si>
    <t>&gt;4 - 6</t>
  </si>
  <si>
    <t>&gt; 6 - 8</t>
  </si>
  <si>
    <t>&gt; 8 - 10</t>
  </si>
  <si>
    <t>&gt; 10 - 12</t>
  </si>
  <si>
    <t>&gt; 12 - 14</t>
  </si>
  <si>
    <t>&gt; 14 - 16</t>
  </si>
  <si>
    <t>&gt; 16 - 18</t>
  </si>
  <si>
    <t xml:space="preserve">&gt; 20 </t>
  </si>
  <si>
    <t>Keo lai, Keo tai tượng, Keo lá tràm</t>
  </si>
  <si>
    <t>&gt; 18 - 21</t>
  </si>
  <si>
    <t>Tăng trưởng đường kính bình quân 1,5cm/năm</t>
  </si>
  <si>
    <t>≤ 3</t>
  </si>
  <si>
    <t>Nhóm gỗ quý</t>
  </si>
  <si>
    <t>Nhóm quý hiếm (danh sách tên loại theo phụ lục kèm theo)</t>
  </si>
  <si>
    <t>Nhóm I (danh sách tên loài theo phụ lục kèm theo)</t>
  </si>
  <si>
    <t>Nhóm II (danh sách tên loài theo phụ lục kèm theo)</t>
  </si>
  <si>
    <t>Nhóm III (danh sách tên loài theo phụ lục kèm theo)</t>
  </si>
  <si>
    <t>Nhóm IV (danh sách tên loài theo phụ lục kèm theo)</t>
  </si>
  <si>
    <t>Nhóm V (danh sách tên loài theo phụ lục kèm theo)</t>
  </si>
  <si>
    <t>I</t>
  </si>
  <si>
    <t>II</t>
  </si>
  <si>
    <t>III</t>
  </si>
  <si>
    <t>Nhóm loài cây gỗ lớn lâu năm trồng trên cạn</t>
  </si>
  <si>
    <t>Nhóm loài cây gỗ trồng trên cạn</t>
  </si>
  <si>
    <t>Nhóm loài cây gỗ quý (45 loài theo danh sách kèm theo)</t>
  </si>
  <si>
    <t>Thu nhập 01ha Phụ lục II mô hình trồng Gõ đỏ, Giáng Hương, Sao đen trồng rừng đặc dụng huyện Vĩnh cửu mật độ bình quân 350 cây/ha (trang 9)</t>
  </si>
  <si>
    <t>8= (4 + 5 + 7)</t>
  </si>
  <si>
    <t>Ghi chú: Dự toán chi phí thấp hơn so với QĐ số 2714/QĐ-UBND ngày 16/9/2024 về phê duyệt đơn giá trồng rừng thay thế: do dự toán cho rừng trồng ngoài quy hoạch không sử dụng vốn nhà nước nên chỉ dự toán các chi phí trực tiếp; không dự toán chi phí quản lý, chi phí tư vấn xây dựng, chi phí khác, chi phí dự phòng</t>
  </si>
  <si>
    <t>Chi phí trồng 833 cây (01ha) (đồng/ha)</t>
  </si>
  <si>
    <t>Chi phí trồng, quản lý bảo vệ 1 cây tại từng năm tuổi (đồng/cây)</t>
  </si>
  <si>
    <t>chi phí lũy kế trồng, quản lý bảo vệ 01 cây tại thời điểm thu hồi (đồng/cây)</t>
  </si>
  <si>
    <t>Giá trị môi trường của 01 cây (đồng/cây)</t>
  </si>
  <si>
    <t xml:space="preserve"> Thu nhập của 01 cây (đồng/cây)</t>
  </si>
  <si>
    <t>Đường kính thân cây (cm)</t>
  </si>
  <si>
    <t>Nhóm I</t>
  </si>
  <si>
    <t>Nhóm II</t>
  </si>
  <si>
    <t>Nhóm III</t>
  </si>
  <si>
    <t>Nhóm IV</t>
  </si>
  <si>
    <t>Nhóm V</t>
  </si>
  <si>
    <t>Mấm trắng, Mấm đen, Sú, Vẹt dù, Vẹt trụ, Đưng, Bần trắng, Bần ổi, Gõ Biển, Gõ nước, Xu ổi, Cóc đỏ, Cóc vàng, Cóc Trắng, Đước đôi, Bần chua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</si>
</sst>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quot;?&quot;&quot;?&quot;\ _?_-;_-@_-"/>
    <numFmt numFmtId="165" formatCode="_(* #,##0.00_);_(* \(#,##0.00\);_(* &quot;-&quot;&quot;?&quot;&quot;?&quot;_);_(@_)"/>
    <numFmt numFmtId="166" formatCode="_-* #,##0\ _?_-;\-* #,##0\ _?_-;_-* &quot;-&quot;&quot;?&quot;&quot;?&quot;\ _?_-;_-@_-"/>
    <numFmt numFmtId="167" formatCode="_-* #,##0.000\ _?_-;\-* #,##0.000\ _?_-;_-* &quot;-&quot;&quot;?&quot;&quot;?&quot;\ _?_-;_-@_-"/>
  </numFmts>
  <fonts count="13" x14ac:knownFonts="1">
    <font>
      <sz val="12"/>
      <color theme="1"/>
      <name val="Times New Roman"/>
      <family val="2"/>
    </font>
    <font>
      <sz val="12"/>
      <name val="Times New Roman"/>
      <family val="1"/>
    </font>
    <font>
      <b/>
      <sz val="13"/>
      <name val="Times New Roman"/>
      <family val="1"/>
      <charset val="163"/>
    </font>
    <font>
      <sz val="13"/>
      <name val="Times New Roman"/>
      <family val="1"/>
      <charset val="163"/>
    </font>
    <font>
      <b/>
      <i/>
      <sz val="13"/>
      <name val="Times New Roman"/>
      <family val="1"/>
      <charset val="163"/>
    </font>
    <font>
      <i/>
      <sz val="13"/>
      <name val="Times New Roman"/>
      <family val="1"/>
      <charset val="163"/>
    </font>
    <font>
      <vertAlign val="superscript"/>
      <sz val="13"/>
      <name val="Times New Roman"/>
      <family val="1"/>
      <charset val="163"/>
    </font>
    <font>
      <sz val="12"/>
      <color theme="1"/>
      <name val="Times New Roman"/>
      <family val="2"/>
    </font>
    <font>
      <b/>
      <sz val="12"/>
      <color theme="1"/>
      <name val="Times New Roman"/>
      <family val="1"/>
    </font>
    <font>
      <b/>
      <sz val="13"/>
      <name val="Times New Roman"/>
      <family val="1"/>
    </font>
    <font>
      <sz val="12"/>
      <color theme="1"/>
      <name val="Times New Roman"/>
      <family val="1"/>
    </font>
    <font>
      <sz val="12"/>
      <color theme="1"/>
      <name val="Calibri"/>
      <family val="2"/>
    </font>
    <font>
      <b/>
      <i/>
      <sz val="10"/>
      <color theme="1"/>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4" fontId="7" fillId="0" borderId="0" applyFont="0" applyFill="0" applyBorder="0" applyAlignment="0" applyProtection="0"/>
    <xf numFmtId="0" fontId="1" fillId="0" borderId="0"/>
  </cellStyleXfs>
  <cellXfs count="114">
    <xf numFmtId="0" fontId="0" fillId="0" borderId="0" xfId="0"/>
    <xf numFmtId="0" fontId="3" fillId="0" borderId="0" xfId="0" applyFont="1" applyFill="1" applyAlignment="1">
      <alignment vertical="center"/>
    </xf>
    <xf numFmtId="0" fontId="2" fillId="0" borderId="0" xfId="0" applyFont="1" applyFill="1" applyAlignment="1">
      <alignment horizontal="center" vertical="center" wrapText="1"/>
    </xf>
    <xf numFmtId="0" fontId="4" fillId="0" borderId="0" xfId="0" applyFont="1" applyAlignment="1">
      <alignment horizontal="center" vertical="center" wrapText="1"/>
    </xf>
    <xf numFmtId="0" fontId="2" fillId="0" borderId="0" xfId="2" applyFont="1" applyFill="1" applyBorder="1" applyAlignment="1">
      <alignment horizontal="center" vertical="center" wrapText="1"/>
    </xf>
    <xf numFmtId="164" fontId="2" fillId="0" borderId="0" xfId="1" applyFont="1" applyFill="1" applyBorder="1" applyAlignment="1">
      <alignment horizontal="center" vertical="center" wrapText="1"/>
    </xf>
    <xf numFmtId="3" fontId="2" fillId="0" borderId="0" xfId="2" applyNumberFormat="1" applyFont="1" applyFill="1" applyBorder="1" applyAlignment="1">
      <alignment horizontal="center" vertical="center" wrapText="1"/>
    </xf>
    <xf numFmtId="0" fontId="2" fillId="0" borderId="0" xfId="0" applyFont="1" applyFill="1" applyAlignment="1">
      <alignment vertical="center"/>
    </xf>
    <xf numFmtId="0" fontId="3" fillId="0" borderId="0" xfId="0" applyFont="1" applyFill="1" applyAlignment="1">
      <alignment horizontal="center" vertical="center" wrapText="1"/>
    </xf>
    <xf numFmtId="0" fontId="2" fillId="0" borderId="0" xfId="2" applyFont="1" applyFill="1" applyBorder="1" applyAlignment="1">
      <alignment vertical="center" wrapText="1"/>
    </xf>
    <xf numFmtId="164" fontId="2" fillId="0" borderId="0" xfId="1" applyFont="1" applyFill="1" applyAlignment="1">
      <alignment horizontal="left" vertical="center" wrapText="1"/>
    </xf>
    <xf numFmtId="3" fontId="2" fillId="0" borderId="0" xfId="0" applyNumberFormat="1" applyFont="1" applyFill="1" applyAlignment="1">
      <alignment horizontal="left" vertical="center" wrapText="1"/>
    </xf>
    <xf numFmtId="0" fontId="2" fillId="0"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164" fontId="2" fillId="0" borderId="1" xfId="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 fillId="0" borderId="1" xfId="2" applyFont="1" applyFill="1" applyBorder="1" applyAlignment="1">
      <alignment horizontal="left" vertical="center" wrapText="1"/>
    </xf>
    <xf numFmtId="3" fontId="2" fillId="0" borderId="1" xfId="2" applyNumberFormat="1" applyFont="1" applyFill="1" applyBorder="1" applyAlignment="1">
      <alignment horizontal="right" vertical="center" wrapText="1"/>
    </xf>
    <xf numFmtId="4" fontId="2" fillId="0" borderId="1" xfId="1" applyNumberFormat="1" applyFont="1" applyFill="1" applyBorder="1" applyAlignment="1">
      <alignment horizontal="center" vertical="center" wrapText="1"/>
    </xf>
    <xf numFmtId="3" fontId="2" fillId="0" borderId="1" xfId="1" applyNumberFormat="1" applyFont="1" applyFill="1" applyBorder="1" applyAlignment="1">
      <alignment horizontal="right" vertical="center" wrapText="1"/>
    </xf>
    <xf numFmtId="0" fontId="3" fillId="0" borderId="1" xfId="2" applyFont="1" applyFill="1" applyBorder="1" applyAlignment="1">
      <alignment horizontal="center" vertical="center" wrapText="1"/>
    </xf>
    <xf numFmtId="0" fontId="3" fillId="0" borderId="1" xfId="2" applyFont="1" applyFill="1" applyBorder="1" applyAlignment="1">
      <alignment horizontal="left" vertical="center" wrapText="1"/>
    </xf>
    <xf numFmtId="3" fontId="3" fillId="0" borderId="1" xfId="2" applyNumberFormat="1" applyFont="1" applyFill="1" applyBorder="1" applyAlignment="1">
      <alignment horizontal="right" vertical="center" wrapText="1"/>
    </xf>
    <xf numFmtId="3" fontId="3" fillId="0" borderId="1" xfId="1" applyNumberFormat="1" applyFont="1" applyFill="1" applyBorder="1" applyAlignment="1">
      <alignment horizontal="right" vertical="center" wrapText="1"/>
    </xf>
    <xf numFmtId="4" fontId="2" fillId="0" borderId="1" xfId="1" applyNumberFormat="1" applyFont="1" applyFill="1" applyBorder="1" applyAlignment="1">
      <alignment horizontal="right" vertical="center" wrapText="1"/>
    </xf>
    <xf numFmtId="3" fontId="3" fillId="0" borderId="1" xfId="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2" applyFont="1" applyFill="1" applyBorder="1" applyAlignment="1">
      <alignment horizontal="left" vertical="center" wrapText="1"/>
    </xf>
    <xf numFmtId="3" fontId="4" fillId="0" borderId="1" xfId="2" applyNumberFormat="1" applyFont="1" applyFill="1" applyBorder="1" applyAlignment="1">
      <alignment horizontal="center" vertical="center" wrapText="1"/>
    </xf>
    <xf numFmtId="165" fontId="3" fillId="0" borderId="1" xfId="1" applyNumberFormat="1" applyFont="1" applyFill="1" applyBorder="1" applyAlignment="1">
      <alignment horizontal="center" vertical="center" wrapText="1"/>
    </xf>
    <xf numFmtId="164" fontId="3" fillId="0" borderId="1" xfId="1" applyFont="1" applyFill="1" applyBorder="1" applyAlignment="1">
      <alignment horizontal="right" vertical="center" wrapText="1"/>
    </xf>
    <xf numFmtId="0" fontId="3" fillId="2" borderId="1" xfId="2" applyFont="1" applyFill="1" applyBorder="1" applyAlignment="1">
      <alignment horizontal="center" vertical="center" wrapText="1"/>
    </xf>
    <xf numFmtId="0" fontId="3" fillId="2" borderId="1" xfId="2" applyFont="1" applyFill="1" applyBorder="1" applyAlignment="1">
      <alignment horizontal="left" vertical="center" wrapText="1"/>
    </xf>
    <xf numFmtId="164" fontId="3" fillId="2" borderId="1" xfId="1" applyFont="1" applyFill="1" applyBorder="1" applyAlignment="1">
      <alignment horizontal="right" vertical="center" wrapText="1"/>
    </xf>
    <xf numFmtId="3" fontId="3" fillId="2" borderId="1" xfId="2" applyNumberFormat="1" applyFont="1" applyFill="1" applyBorder="1" applyAlignment="1">
      <alignment horizontal="right" vertical="center" wrapText="1"/>
    </xf>
    <xf numFmtId="3" fontId="3" fillId="2" borderId="1" xfId="2" applyNumberFormat="1" applyFont="1" applyFill="1" applyBorder="1" applyAlignment="1">
      <alignment horizontal="center" vertical="center" wrapText="1"/>
    </xf>
    <xf numFmtId="164" fontId="4" fillId="0" borderId="1" xfId="1" applyFont="1" applyFill="1" applyBorder="1" applyAlignment="1">
      <alignment horizontal="right" vertical="center" wrapText="1"/>
    </xf>
    <xf numFmtId="3" fontId="4" fillId="0" borderId="1" xfId="2" applyNumberFormat="1" applyFont="1" applyFill="1" applyBorder="1" applyAlignment="1">
      <alignment horizontal="right" vertical="center" wrapText="1"/>
    </xf>
    <xf numFmtId="164" fontId="3" fillId="0" borderId="0" xfId="1" applyFont="1" applyFill="1" applyAlignment="1">
      <alignment horizontal="center" vertical="center"/>
    </xf>
    <xf numFmtId="3" fontId="3" fillId="0" borderId="0" xfId="0" applyNumberFormat="1" applyFont="1" applyFill="1" applyAlignment="1">
      <alignment vertical="center"/>
    </xf>
    <xf numFmtId="0" fontId="3" fillId="0" borderId="1" xfId="0" applyFont="1" applyFill="1" applyBorder="1" applyAlignment="1">
      <alignment horizontal="center" vertical="center"/>
    </xf>
    <xf numFmtId="4" fontId="4" fillId="0" borderId="1" xfId="1" applyNumberFormat="1" applyFont="1" applyFill="1" applyBorder="1" applyAlignment="1">
      <alignment vertical="center" wrapText="1"/>
    </xf>
    <xf numFmtId="3" fontId="2" fillId="0" borderId="0" xfId="0" applyNumberFormat="1" applyFont="1" applyFill="1" applyAlignment="1">
      <alignment vertical="center"/>
    </xf>
    <xf numFmtId="0" fontId="2" fillId="2" borderId="1" xfId="0" applyFont="1" applyFill="1" applyBorder="1" applyAlignment="1">
      <alignment vertical="center"/>
    </xf>
    <xf numFmtId="3" fontId="4" fillId="2" borderId="1" xfId="2"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0" xfId="0" applyAlignment="1">
      <alignment vertical="center"/>
    </xf>
    <xf numFmtId="0" fontId="8"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3" fontId="0" fillId="0" borderId="1" xfId="0" applyNumberFormat="1" applyBorder="1" applyAlignment="1">
      <alignment vertical="center"/>
    </xf>
    <xf numFmtId="0" fontId="8" fillId="0" borderId="1" xfId="0" applyFont="1" applyBorder="1" applyAlignment="1">
      <alignment horizontal="center" vertical="center" wrapText="1"/>
    </xf>
    <xf numFmtId="2" fontId="10" fillId="0" borderId="1" xfId="0" applyNumberFormat="1" applyFont="1" applyBorder="1" applyAlignment="1">
      <alignment horizontal="center" vertical="center" wrapText="1"/>
    </xf>
    <xf numFmtId="166" fontId="0" fillId="0" borderId="1" xfId="1" applyNumberFormat="1" applyFont="1" applyBorder="1" applyAlignment="1">
      <alignment horizontal="center" vertical="center"/>
    </xf>
    <xf numFmtId="0" fontId="8" fillId="0" borderId="1" xfId="0" applyFont="1" applyBorder="1" applyAlignment="1">
      <alignment horizontal="center" vertical="center" wrapText="1"/>
    </xf>
    <xf numFmtId="2" fontId="10" fillId="0" borderId="1" xfId="0" quotePrefix="1" applyNumberFormat="1" applyFont="1" applyBorder="1" applyAlignment="1">
      <alignment horizontal="center" vertical="center" wrapText="1"/>
    </xf>
    <xf numFmtId="0" fontId="10" fillId="0" borderId="1" xfId="0" applyFont="1" applyBorder="1" applyAlignment="1">
      <alignment horizontal="center"/>
    </xf>
    <xf numFmtId="166" fontId="0" fillId="0" borderId="0" xfId="1" applyNumberFormat="1" applyFont="1" applyAlignment="1">
      <alignment vertical="center"/>
    </xf>
    <xf numFmtId="166" fontId="0" fillId="0" borderId="1" xfId="1" applyNumberFormat="1" applyFont="1" applyBorder="1" applyAlignment="1">
      <alignment vertical="center"/>
    </xf>
    <xf numFmtId="166" fontId="0" fillId="0" borderId="1" xfId="1" applyNumberFormat="1" applyFont="1" applyBorder="1"/>
    <xf numFmtId="0" fontId="4" fillId="2" borderId="1" xfId="2" applyFont="1" applyFill="1" applyBorder="1" applyAlignment="1">
      <alignment horizontal="center" vertical="center" wrapText="1"/>
    </xf>
    <xf numFmtId="0" fontId="4" fillId="2" borderId="1" xfId="2" applyFont="1" applyFill="1" applyBorder="1" applyAlignment="1">
      <alignment horizontal="left" vertical="center" wrapText="1"/>
    </xf>
    <xf numFmtId="4" fontId="4" fillId="2" borderId="1" xfId="1" applyNumberFormat="1" applyFont="1" applyFill="1" applyBorder="1" applyAlignment="1">
      <alignment horizontal="right" vertical="center" wrapText="1"/>
    </xf>
    <xf numFmtId="0" fontId="2" fillId="2" borderId="0" xfId="0" applyFont="1" applyFill="1" applyAlignment="1">
      <alignment vertical="center"/>
    </xf>
    <xf numFmtId="0" fontId="5" fillId="2" borderId="1" xfId="2" applyFont="1" applyFill="1" applyBorder="1" applyAlignment="1">
      <alignment horizontal="center" vertical="center" wrapText="1"/>
    </xf>
    <xf numFmtId="164" fontId="4" fillId="2" borderId="1" xfId="1" applyFont="1" applyFill="1" applyBorder="1" applyAlignment="1">
      <alignment horizontal="right" vertical="center" wrapText="1"/>
    </xf>
    <xf numFmtId="3" fontId="4" fillId="2" borderId="1" xfId="2" applyNumberFormat="1" applyFont="1" applyFill="1" applyBorder="1" applyAlignment="1">
      <alignment horizontal="right" vertical="center" wrapText="1"/>
    </xf>
    <xf numFmtId="0" fontId="4" fillId="2" borderId="0" xfId="0" applyFont="1" applyFill="1" applyAlignment="1">
      <alignment vertical="center"/>
    </xf>
    <xf numFmtId="0" fontId="3" fillId="0" borderId="1" xfId="0" applyFont="1" applyFill="1" applyBorder="1" applyAlignment="1">
      <alignment vertical="center"/>
    </xf>
    <xf numFmtId="0" fontId="9" fillId="2" borderId="1" xfId="0" applyFont="1" applyFill="1" applyBorder="1" applyAlignment="1">
      <alignment vertical="center"/>
    </xf>
    <xf numFmtId="164" fontId="9" fillId="2" borderId="1" xfId="1" applyFont="1" applyFill="1" applyBorder="1" applyAlignment="1">
      <alignment horizontal="center" vertical="center"/>
    </xf>
    <xf numFmtId="3" fontId="9" fillId="2" borderId="1" xfId="0" applyNumberFormat="1" applyFont="1" applyFill="1" applyBorder="1" applyAlignment="1">
      <alignment vertical="center"/>
    </xf>
    <xf numFmtId="0" fontId="9" fillId="2" borderId="0" xfId="0" applyFont="1" applyFill="1" applyAlignment="1">
      <alignment vertical="center"/>
    </xf>
    <xf numFmtId="1" fontId="0" fillId="0" borderId="1" xfId="0" applyNumberFormat="1" applyBorder="1" applyAlignment="1">
      <alignment horizontal="center" vertical="center"/>
    </xf>
    <xf numFmtId="166" fontId="8" fillId="0" borderId="1" xfId="1" applyNumberFormat="1" applyFont="1" applyBorder="1" applyAlignment="1">
      <alignment horizontal="center" vertical="center" wrapText="1"/>
    </xf>
    <xf numFmtId="166" fontId="0" fillId="0" borderId="0" xfId="0" applyNumberFormat="1" applyAlignment="1">
      <alignment vertical="center"/>
    </xf>
    <xf numFmtId="166" fontId="0" fillId="0" borderId="1" xfId="0" applyNumberFormat="1" applyBorder="1" applyAlignment="1">
      <alignment vertical="center"/>
    </xf>
    <xf numFmtId="1" fontId="0" fillId="0" borderId="0" xfId="0" applyNumberFormat="1" applyAlignment="1">
      <alignment vertical="center"/>
    </xf>
    <xf numFmtId="0" fontId="12" fillId="0" borderId="1" xfId="0" applyFont="1" applyBorder="1" applyAlignment="1">
      <alignment horizontal="center" wrapText="1"/>
    </xf>
    <xf numFmtId="0" fontId="12" fillId="0" borderId="1" xfId="0" applyFont="1" applyBorder="1" applyAlignment="1">
      <alignment horizontal="center"/>
    </xf>
    <xf numFmtId="1" fontId="12" fillId="0" borderId="1" xfId="1" applyNumberFormat="1" applyFont="1" applyBorder="1" applyAlignment="1">
      <alignment horizontal="center" vertical="center" wrapText="1"/>
    </xf>
    <xf numFmtId="0" fontId="2" fillId="0" borderId="1" xfId="0" applyFont="1" applyFill="1" applyBorder="1" applyAlignment="1">
      <alignment vertical="center"/>
    </xf>
    <xf numFmtId="0" fontId="10" fillId="0" borderId="1" xfId="0" applyFont="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10" fillId="0" borderId="1" xfId="0" applyFont="1" applyBorder="1"/>
    <xf numFmtId="0" fontId="10" fillId="0" borderId="1" xfId="0" applyFont="1" applyBorder="1" applyAlignment="1">
      <alignment horizontal="center" vertical="center"/>
    </xf>
    <xf numFmtId="166" fontId="10" fillId="0" borderId="1" xfId="1" applyNumberFormat="1" applyFont="1" applyBorder="1"/>
    <xf numFmtId="0" fontId="8" fillId="0" borderId="3" xfId="0" applyFont="1" applyBorder="1" applyAlignment="1">
      <alignment horizontal="center" vertical="center"/>
    </xf>
    <xf numFmtId="167" fontId="0" fillId="0" borderId="1" xfId="1" applyNumberFormat="1" applyFont="1" applyBorder="1" applyAlignment="1">
      <alignment horizontal="center" vertical="center"/>
    </xf>
    <xf numFmtId="166" fontId="12" fillId="0" borderId="1" xfId="1" applyNumberFormat="1" applyFont="1" applyBorder="1" applyAlignment="1">
      <alignment vertical="center" wrapText="1"/>
    </xf>
    <xf numFmtId="0" fontId="3" fillId="0" borderId="0" xfId="0" applyFont="1" applyFill="1" applyAlignment="1">
      <alignment horizontal="center" vertical="center" wrapText="1"/>
    </xf>
    <xf numFmtId="3" fontId="3" fillId="0" borderId="2" xfId="2" applyNumberFormat="1" applyFont="1" applyFill="1" applyBorder="1" applyAlignment="1">
      <alignment horizontal="center" vertical="center" wrapText="1"/>
    </xf>
    <xf numFmtId="3" fontId="3" fillId="0" borderId="3" xfId="2" applyNumberFormat="1" applyFont="1" applyFill="1" applyBorder="1" applyAlignment="1">
      <alignment horizontal="center" vertical="center" wrapText="1"/>
    </xf>
    <xf numFmtId="3" fontId="3" fillId="0" borderId="4" xfId="2" applyNumberFormat="1" applyFont="1" applyFill="1" applyBorder="1" applyAlignment="1">
      <alignment horizontal="center" vertical="center" wrapText="1"/>
    </xf>
    <xf numFmtId="3" fontId="3" fillId="0" borderId="1" xfId="2" applyNumberFormat="1"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left" vertical="center" wrapText="1"/>
    </xf>
    <xf numFmtId="0" fontId="3" fillId="0" borderId="0" xfId="0" quotePrefix="1" applyFont="1" applyFill="1" applyAlignment="1">
      <alignment horizontal="left" vertical="center" wrapText="1"/>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topLeftCell="A67" workbookViewId="0">
      <selection activeCell="C81" sqref="C81:H81"/>
    </sheetView>
  </sheetViews>
  <sheetFormatPr defaultColWidth="8.25" defaultRowHeight="16.5" x14ac:dyDescent="0.25"/>
  <cols>
    <col min="1" max="2" width="7.25" style="1" customWidth="1"/>
    <col min="3" max="3" width="35.375" style="1" customWidth="1"/>
    <col min="4" max="4" width="9.375" style="1" customWidth="1"/>
    <col min="5" max="5" width="8.875" style="39" bestFit="1" customWidth="1"/>
    <col min="6" max="6" width="8.75" style="40" bestFit="1" customWidth="1"/>
    <col min="7" max="7" width="12.25" style="40" bestFit="1" customWidth="1"/>
    <col min="8" max="8" width="25.125" style="40" customWidth="1"/>
    <col min="9" max="9" width="8.25" style="1" customWidth="1"/>
    <col min="10" max="10" width="20.75" style="1" customWidth="1"/>
    <col min="11" max="16384" width="8.25" style="1"/>
  </cols>
  <sheetData>
    <row r="1" spans="1:8" x14ac:dyDescent="0.25">
      <c r="A1" s="99" t="s">
        <v>88</v>
      </c>
      <c r="B1" s="99"/>
      <c r="C1" s="99"/>
      <c r="D1" s="99"/>
      <c r="E1" s="99"/>
      <c r="F1" s="99"/>
      <c r="G1" s="99"/>
      <c r="H1" s="99"/>
    </row>
    <row r="2" spans="1:8" x14ac:dyDescent="0.25">
      <c r="A2" s="100" t="s">
        <v>93</v>
      </c>
      <c r="B2" s="100"/>
      <c r="C2" s="100"/>
      <c r="D2" s="100"/>
      <c r="E2" s="100"/>
      <c r="F2" s="100"/>
      <c r="G2" s="100"/>
      <c r="H2" s="100"/>
    </row>
    <row r="3" spans="1:8" ht="16.5" customHeight="1" x14ac:dyDescent="0.25">
      <c r="A3" s="3"/>
      <c r="B3" s="3"/>
      <c r="C3" s="3"/>
      <c r="D3" s="3"/>
      <c r="E3" s="3"/>
      <c r="F3" s="3"/>
      <c r="G3" s="3"/>
      <c r="H3" s="3"/>
    </row>
    <row r="4" spans="1:8" s="7" customFormat="1" x14ac:dyDescent="0.25">
      <c r="A4" s="2">
        <v>1</v>
      </c>
      <c r="B4" s="7" t="s">
        <v>0</v>
      </c>
      <c r="D4" s="4"/>
      <c r="E4" s="5"/>
      <c r="F4" s="6"/>
      <c r="G4" s="6"/>
      <c r="H4" s="6"/>
    </row>
    <row r="5" spans="1:8" ht="30.75" customHeight="1" x14ac:dyDescent="0.25">
      <c r="A5" s="8"/>
      <c r="B5" s="101" t="s">
        <v>62</v>
      </c>
      <c r="C5" s="101"/>
      <c r="D5" s="101"/>
      <c r="E5" s="101"/>
      <c r="F5" s="101"/>
      <c r="G5" s="101"/>
      <c r="H5" s="101"/>
    </row>
    <row r="6" spans="1:8" ht="30.75" customHeight="1" x14ac:dyDescent="0.25">
      <c r="A6" s="8"/>
      <c r="B6" s="101" t="s">
        <v>63</v>
      </c>
      <c r="C6" s="101"/>
      <c r="D6" s="101"/>
      <c r="E6" s="101"/>
      <c r="F6" s="101"/>
      <c r="G6" s="101"/>
      <c r="H6" s="101"/>
    </row>
    <row r="7" spans="1:8" ht="77.25" customHeight="1" x14ac:dyDescent="0.25">
      <c r="A7" s="8"/>
      <c r="B7" s="101" t="s">
        <v>92</v>
      </c>
      <c r="C7" s="101"/>
      <c r="D7" s="101"/>
      <c r="E7" s="101"/>
      <c r="F7" s="101"/>
      <c r="G7" s="101"/>
      <c r="H7" s="101"/>
    </row>
    <row r="8" spans="1:8" ht="30.75" customHeight="1" x14ac:dyDescent="0.25">
      <c r="A8" s="8"/>
      <c r="B8" s="102" t="s">
        <v>90</v>
      </c>
      <c r="C8" s="101"/>
      <c r="D8" s="101"/>
      <c r="E8" s="101"/>
      <c r="F8" s="101"/>
      <c r="G8" s="101"/>
      <c r="H8" s="101"/>
    </row>
    <row r="9" spans="1:8" x14ac:dyDescent="0.25">
      <c r="A9" s="8"/>
      <c r="B9" s="102" t="s">
        <v>91</v>
      </c>
      <c r="C9" s="101"/>
      <c r="D9" s="101"/>
      <c r="E9" s="101"/>
      <c r="F9" s="101"/>
      <c r="G9" s="101"/>
      <c r="H9" s="101"/>
    </row>
    <row r="10" spans="1:8" ht="30.75" customHeight="1" x14ac:dyDescent="0.25">
      <c r="A10" s="8"/>
      <c r="B10" s="101" t="s">
        <v>94</v>
      </c>
      <c r="C10" s="101"/>
      <c r="D10" s="101"/>
      <c r="E10" s="101"/>
      <c r="F10" s="101"/>
      <c r="G10" s="101"/>
      <c r="H10" s="101"/>
    </row>
    <row r="11" spans="1:8" ht="16.5" customHeight="1" x14ac:dyDescent="0.25">
      <c r="A11" s="8"/>
      <c r="B11" s="101" t="s">
        <v>55</v>
      </c>
      <c r="C11" s="101"/>
      <c r="D11" s="101"/>
      <c r="E11" s="101"/>
      <c r="F11" s="101"/>
      <c r="G11" s="101"/>
      <c r="H11" s="101"/>
    </row>
    <row r="12" spans="1:8" ht="30.75" customHeight="1" x14ac:dyDescent="0.25">
      <c r="A12" s="8"/>
      <c r="B12" s="102" t="s">
        <v>104</v>
      </c>
      <c r="C12" s="102"/>
      <c r="D12" s="102"/>
      <c r="E12" s="102"/>
      <c r="F12" s="102"/>
      <c r="G12" s="102"/>
      <c r="H12" s="102"/>
    </row>
    <row r="13" spans="1:8" s="7" customFormat="1" x14ac:dyDescent="0.25">
      <c r="A13" s="2">
        <v>2</v>
      </c>
      <c r="B13" s="7" t="s">
        <v>64</v>
      </c>
      <c r="D13" s="9"/>
      <c r="E13" s="10"/>
      <c r="F13" s="11"/>
      <c r="G13" s="11"/>
      <c r="H13" s="11"/>
    </row>
    <row r="14" spans="1:8" s="7" customFormat="1" x14ac:dyDescent="0.25">
      <c r="A14" s="97" t="s">
        <v>1</v>
      </c>
      <c r="B14" s="97" t="s">
        <v>89</v>
      </c>
      <c r="C14" s="97" t="s">
        <v>2</v>
      </c>
      <c r="D14" s="97" t="s">
        <v>3</v>
      </c>
      <c r="E14" s="97"/>
      <c r="F14" s="97"/>
      <c r="G14" s="97"/>
      <c r="H14" s="98" t="s">
        <v>65</v>
      </c>
    </row>
    <row r="15" spans="1:8" s="7" customFormat="1" ht="33" x14ac:dyDescent="0.25">
      <c r="A15" s="97"/>
      <c r="B15" s="97"/>
      <c r="C15" s="97"/>
      <c r="D15" s="12" t="s">
        <v>4</v>
      </c>
      <c r="E15" s="14" t="s">
        <v>5</v>
      </c>
      <c r="F15" s="15" t="s">
        <v>6</v>
      </c>
      <c r="G15" s="15" t="s">
        <v>7</v>
      </c>
      <c r="H15" s="98"/>
    </row>
    <row r="16" spans="1:8" s="7" customFormat="1" x14ac:dyDescent="0.25">
      <c r="A16" s="12"/>
      <c r="B16" s="12"/>
      <c r="C16" s="16" t="s">
        <v>8</v>
      </c>
      <c r="D16" s="12"/>
      <c r="E16" s="14"/>
      <c r="F16" s="15"/>
      <c r="G16" s="17">
        <f>G17+G27+G29</f>
        <v>189738355</v>
      </c>
      <c r="H16" s="13"/>
    </row>
    <row r="17" spans="1:10" s="7" customFormat="1" x14ac:dyDescent="0.25">
      <c r="A17" s="12">
        <v>1</v>
      </c>
      <c r="B17" s="12"/>
      <c r="C17" s="16" t="s">
        <v>9</v>
      </c>
      <c r="D17" s="12"/>
      <c r="E17" s="18"/>
      <c r="F17" s="15"/>
      <c r="G17" s="17">
        <f>G18+G23+G27</f>
        <v>31718400</v>
      </c>
      <c r="H17" s="15"/>
    </row>
    <row r="18" spans="1:10" s="7" customFormat="1" ht="16.5" customHeight="1" x14ac:dyDescent="0.25">
      <c r="A18" s="12" t="s">
        <v>10</v>
      </c>
      <c r="B18" s="12"/>
      <c r="C18" s="16" t="s">
        <v>11</v>
      </c>
      <c r="D18" s="12"/>
      <c r="E18" s="19">
        <f>SUM(E19:E22)</f>
        <v>1082</v>
      </c>
      <c r="F18" s="15"/>
      <c r="G18" s="19">
        <f>SUM(G19:G22)</f>
        <v>21640000</v>
      </c>
      <c r="H18" s="93" t="s">
        <v>86</v>
      </c>
    </row>
    <row r="19" spans="1:10" s="7" customFormat="1" x14ac:dyDescent="0.25">
      <c r="A19" s="20" t="s">
        <v>95</v>
      </c>
      <c r="B19" s="20"/>
      <c r="C19" s="21" t="s">
        <v>85</v>
      </c>
      <c r="D19" s="20" t="s">
        <v>12</v>
      </c>
      <c r="E19" s="22">
        <v>833</v>
      </c>
      <c r="F19" s="22">
        <v>20000</v>
      </c>
      <c r="G19" s="22">
        <f>ROUND(E19*F19,0)</f>
        <v>16660000</v>
      </c>
      <c r="H19" s="94"/>
    </row>
    <row r="20" spans="1:10" s="7" customFormat="1" ht="17.25" customHeight="1" x14ac:dyDescent="0.25">
      <c r="A20" s="20" t="s">
        <v>96</v>
      </c>
      <c r="B20" s="20"/>
      <c r="C20" s="21" t="s">
        <v>66</v>
      </c>
      <c r="D20" s="20" t="s">
        <v>12</v>
      </c>
      <c r="E20" s="22">
        <f>ROUND($E$19*10%,0)</f>
        <v>83</v>
      </c>
      <c r="F20" s="22">
        <f>F19</f>
        <v>20000</v>
      </c>
      <c r="G20" s="22">
        <f t="shared" ref="G20:G26" si="0">ROUND(E20*F20,0)</f>
        <v>1660000</v>
      </c>
      <c r="H20" s="94"/>
    </row>
    <row r="21" spans="1:10" s="7" customFormat="1" x14ac:dyDescent="0.25">
      <c r="A21" s="20" t="s">
        <v>97</v>
      </c>
      <c r="B21" s="20"/>
      <c r="C21" s="21" t="s">
        <v>67</v>
      </c>
      <c r="D21" s="20" t="s">
        <v>12</v>
      </c>
      <c r="E21" s="22">
        <f>ROUND($E$19*10%,0)</f>
        <v>83</v>
      </c>
      <c r="F21" s="22">
        <f>F20</f>
        <v>20000</v>
      </c>
      <c r="G21" s="22">
        <f t="shared" si="0"/>
        <v>1660000</v>
      </c>
      <c r="H21" s="94"/>
    </row>
    <row r="22" spans="1:10" s="7" customFormat="1" x14ac:dyDescent="0.25">
      <c r="A22" s="20" t="s">
        <v>98</v>
      </c>
      <c r="B22" s="20"/>
      <c r="C22" s="21" t="s">
        <v>68</v>
      </c>
      <c r="D22" s="20" t="s">
        <v>12</v>
      </c>
      <c r="E22" s="22">
        <f>ROUND($E$19*10%,0)</f>
        <v>83</v>
      </c>
      <c r="F22" s="22">
        <f>F21</f>
        <v>20000</v>
      </c>
      <c r="G22" s="22">
        <f t="shared" si="0"/>
        <v>1660000</v>
      </c>
      <c r="H22" s="95"/>
    </row>
    <row r="23" spans="1:10" s="7" customFormat="1" x14ac:dyDescent="0.25">
      <c r="A23" s="12" t="s">
        <v>13</v>
      </c>
      <c r="B23" s="12"/>
      <c r="C23" s="16" t="s">
        <v>14</v>
      </c>
      <c r="D23" s="12"/>
      <c r="E23" s="19">
        <f>SUM(E24:E26)</f>
        <v>499.80000000000007</v>
      </c>
      <c r="F23" s="17"/>
      <c r="G23" s="19">
        <f>SUM(G24:G26)</f>
        <v>8996400</v>
      </c>
      <c r="H23" s="15"/>
    </row>
    <row r="24" spans="1:10" s="7" customFormat="1" ht="16.5" customHeight="1" x14ac:dyDescent="0.25">
      <c r="A24" s="20" t="s">
        <v>95</v>
      </c>
      <c r="B24" s="12"/>
      <c r="C24" s="21" t="s">
        <v>15</v>
      </c>
      <c r="D24" s="20" t="s">
        <v>16</v>
      </c>
      <c r="E24" s="23">
        <f>E19*0.2</f>
        <v>166.60000000000002</v>
      </c>
      <c r="F24" s="22">
        <v>18000</v>
      </c>
      <c r="G24" s="22">
        <f t="shared" si="0"/>
        <v>2998800</v>
      </c>
      <c r="H24" s="93" t="s">
        <v>17</v>
      </c>
    </row>
    <row r="25" spans="1:10" s="7" customFormat="1" x14ac:dyDescent="0.25">
      <c r="A25" s="20" t="s">
        <v>96</v>
      </c>
      <c r="B25" s="12"/>
      <c r="C25" s="21" t="s">
        <v>18</v>
      </c>
      <c r="D25" s="20" t="s">
        <v>16</v>
      </c>
      <c r="E25" s="23">
        <f>E19*0.2</f>
        <v>166.60000000000002</v>
      </c>
      <c r="F25" s="22">
        <v>18000</v>
      </c>
      <c r="G25" s="22">
        <f t="shared" si="0"/>
        <v>2998800</v>
      </c>
      <c r="H25" s="94"/>
    </row>
    <row r="26" spans="1:10" s="7" customFormat="1" x14ac:dyDescent="0.25">
      <c r="A26" s="20" t="s">
        <v>97</v>
      </c>
      <c r="B26" s="12"/>
      <c r="C26" s="21" t="s">
        <v>19</v>
      </c>
      <c r="D26" s="20" t="s">
        <v>16</v>
      </c>
      <c r="E26" s="23">
        <f>E19*0.2</f>
        <v>166.60000000000002</v>
      </c>
      <c r="F26" s="22">
        <v>18000</v>
      </c>
      <c r="G26" s="22">
        <f t="shared" si="0"/>
        <v>2998800</v>
      </c>
      <c r="H26" s="95"/>
    </row>
    <row r="27" spans="1:10" s="7" customFormat="1" x14ac:dyDescent="0.25">
      <c r="A27" s="12">
        <v>2</v>
      </c>
      <c r="B27" s="12"/>
      <c r="C27" s="16" t="s">
        <v>20</v>
      </c>
      <c r="D27" s="12"/>
      <c r="E27" s="24"/>
      <c r="F27" s="17"/>
      <c r="G27" s="17">
        <f>SUM(G28:G28)</f>
        <v>1082000</v>
      </c>
      <c r="H27" s="25"/>
    </row>
    <row r="28" spans="1:10" s="7" customFormat="1" ht="33" x14ac:dyDescent="0.25">
      <c r="A28" s="20" t="s">
        <v>95</v>
      </c>
      <c r="B28" s="20"/>
      <c r="C28" s="21" t="s">
        <v>21</v>
      </c>
      <c r="D28" s="20" t="s">
        <v>12</v>
      </c>
      <c r="E28" s="23">
        <f>E18</f>
        <v>1082</v>
      </c>
      <c r="F28" s="22">
        <v>1000</v>
      </c>
      <c r="G28" s="22">
        <f>ROUND(E28*F28,0)</f>
        <v>1082000</v>
      </c>
      <c r="H28" s="25" t="s">
        <v>22</v>
      </c>
    </row>
    <row r="29" spans="1:10" s="7" customFormat="1" ht="33" x14ac:dyDescent="0.25">
      <c r="A29" s="12">
        <v>3</v>
      </c>
      <c r="B29" s="12"/>
      <c r="C29" s="16" t="s">
        <v>69</v>
      </c>
      <c r="D29" s="12" t="s">
        <v>23</v>
      </c>
      <c r="E29" s="24">
        <f>E30+E45+E53+E61+E69</f>
        <v>384.21690000000001</v>
      </c>
      <c r="F29" s="15"/>
      <c r="G29" s="19">
        <f>G30+G45+G53+G61+G69</f>
        <v>156937955</v>
      </c>
      <c r="H29" s="15"/>
    </row>
    <row r="30" spans="1:10" s="64" customFormat="1" ht="17.25" x14ac:dyDescent="0.25">
      <c r="A30" s="61" t="s">
        <v>24</v>
      </c>
      <c r="B30" s="61"/>
      <c r="C30" s="62" t="s">
        <v>15</v>
      </c>
      <c r="D30" s="61" t="s">
        <v>23</v>
      </c>
      <c r="E30" s="63">
        <f>E31+E38</f>
        <v>159.6481</v>
      </c>
      <c r="F30" s="45"/>
      <c r="G30" s="45">
        <f>G31+G38</f>
        <v>65210132</v>
      </c>
      <c r="H30" s="45"/>
    </row>
    <row r="31" spans="1:10" s="7" customFormat="1" ht="17.25" x14ac:dyDescent="0.25">
      <c r="A31" s="27" t="s">
        <v>25</v>
      </c>
      <c r="B31" s="27"/>
      <c r="C31" s="28" t="s">
        <v>26</v>
      </c>
      <c r="D31" s="27" t="s">
        <v>23</v>
      </c>
      <c r="E31" s="42">
        <f>SUM(E32:E37)</f>
        <v>108.7377</v>
      </c>
      <c r="F31" s="29"/>
      <c r="G31" s="29">
        <f>SUM(G32:G37)</f>
        <v>44415167</v>
      </c>
      <c r="H31" s="29"/>
      <c r="J31" s="43"/>
    </row>
    <row r="32" spans="1:10" s="7" customFormat="1" ht="33" customHeight="1" x14ac:dyDescent="0.25">
      <c r="A32" s="20" t="s">
        <v>95</v>
      </c>
      <c r="B32" s="26" t="s">
        <v>99</v>
      </c>
      <c r="C32" s="21" t="s">
        <v>27</v>
      </c>
      <c r="D32" s="20" t="s">
        <v>23</v>
      </c>
      <c r="E32" s="30">
        <f>ROUND((2.59/1000)*10000,2)*1</f>
        <v>25.9</v>
      </c>
      <c r="F32" s="22">
        <v>408460</v>
      </c>
      <c r="G32" s="22">
        <f t="shared" ref="G32:G37" si="1">ROUND(E32*F32,0)</f>
        <v>10579114</v>
      </c>
      <c r="H32" s="25" t="s">
        <v>28</v>
      </c>
    </row>
    <row r="33" spans="1:8" s="7" customFormat="1" ht="82.5" x14ac:dyDescent="0.25">
      <c r="A33" s="20" t="s">
        <v>96</v>
      </c>
      <c r="B33" s="20" t="s">
        <v>29</v>
      </c>
      <c r="C33" s="21" t="s">
        <v>87</v>
      </c>
      <c r="D33" s="20" t="s">
        <v>23</v>
      </c>
      <c r="E33" s="31">
        <f>ROUND((15.38/1000)*E19,2)*1*1.93</f>
        <v>24.723300000000002</v>
      </c>
      <c r="F33" s="22">
        <v>408462</v>
      </c>
      <c r="G33" s="22">
        <f t="shared" si="1"/>
        <v>10098529</v>
      </c>
      <c r="H33" s="25" t="s">
        <v>30</v>
      </c>
    </row>
    <row r="34" spans="1:8" s="7" customFormat="1" ht="66" x14ac:dyDescent="0.25">
      <c r="A34" s="41" t="s">
        <v>97</v>
      </c>
      <c r="B34" s="20" t="s">
        <v>31</v>
      </c>
      <c r="C34" s="21" t="s">
        <v>32</v>
      </c>
      <c r="D34" s="20" t="s">
        <v>23</v>
      </c>
      <c r="E34" s="31">
        <f>ROUND((4.9/1000)*833,2)*1*1.93</f>
        <v>7.8743999999999996</v>
      </c>
      <c r="F34" s="22">
        <v>408462</v>
      </c>
      <c r="G34" s="22">
        <f t="shared" si="1"/>
        <v>3216393</v>
      </c>
      <c r="H34" s="25" t="s">
        <v>56</v>
      </c>
    </row>
    <row r="35" spans="1:8" s="7" customFormat="1" ht="49.5" x14ac:dyDescent="0.25">
      <c r="A35" s="41" t="s">
        <v>98</v>
      </c>
      <c r="B35" s="20" t="s">
        <v>70</v>
      </c>
      <c r="C35" s="21" t="s">
        <v>33</v>
      </c>
      <c r="D35" s="20" t="s">
        <v>23</v>
      </c>
      <c r="E35" s="31">
        <f>ROUND((20/1000)*833,2)*1</f>
        <v>16.66</v>
      </c>
      <c r="F35" s="22">
        <v>408462</v>
      </c>
      <c r="G35" s="22">
        <f t="shared" si="1"/>
        <v>6804977</v>
      </c>
      <c r="H35" s="25" t="s">
        <v>57</v>
      </c>
    </row>
    <row r="36" spans="1:8" s="7" customFormat="1" ht="82.5" x14ac:dyDescent="0.25">
      <c r="A36" s="41" t="s">
        <v>100</v>
      </c>
      <c r="B36" s="20" t="s">
        <v>34</v>
      </c>
      <c r="C36" s="33" t="s">
        <v>35</v>
      </c>
      <c r="D36" s="32" t="s">
        <v>23</v>
      </c>
      <c r="E36" s="34">
        <f>ROUND((31.25/1000)*E19,2)*1</f>
        <v>26.03</v>
      </c>
      <c r="F36" s="22">
        <v>408462</v>
      </c>
      <c r="G36" s="35">
        <f t="shared" si="1"/>
        <v>10632266</v>
      </c>
      <c r="H36" s="36" t="s">
        <v>36</v>
      </c>
    </row>
    <row r="37" spans="1:8" s="7" customFormat="1" ht="82.5" x14ac:dyDescent="0.25">
      <c r="A37" s="41" t="s">
        <v>101</v>
      </c>
      <c r="B37" s="20" t="s">
        <v>71</v>
      </c>
      <c r="C37" s="21" t="s">
        <v>37</v>
      </c>
      <c r="D37" s="20" t="s">
        <v>23</v>
      </c>
      <c r="E37" s="31">
        <f>ROUND((90.91/1000)*E20,2)*1</f>
        <v>7.55</v>
      </c>
      <c r="F37" s="22">
        <v>408462</v>
      </c>
      <c r="G37" s="22">
        <f t="shared" si="1"/>
        <v>3083888</v>
      </c>
      <c r="H37" s="25" t="s">
        <v>38</v>
      </c>
    </row>
    <row r="38" spans="1:8" s="7" customFormat="1" ht="17.25" x14ac:dyDescent="0.25">
      <c r="A38" s="27" t="s">
        <v>39</v>
      </c>
      <c r="B38" s="27"/>
      <c r="C38" s="28" t="s">
        <v>40</v>
      </c>
      <c r="D38" s="27" t="s">
        <v>23</v>
      </c>
      <c r="E38" s="37">
        <f>SUM(E39:E44)</f>
        <v>50.910400000000003</v>
      </c>
      <c r="F38" s="38"/>
      <c r="G38" s="29">
        <f>SUM(G39:G44)</f>
        <v>20794965</v>
      </c>
      <c r="H38" s="29"/>
    </row>
    <row r="39" spans="1:8" s="7" customFormat="1" ht="82.5" x14ac:dyDescent="0.25">
      <c r="A39" s="41" t="s">
        <v>95</v>
      </c>
      <c r="B39" s="20" t="s">
        <v>41</v>
      </c>
      <c r="C39" s="21" t="s">
        <v>59</v>
      </c>
      <c r="D39" s="20" t="s">
        <v>23</v>
      </c>
      <c r="E39" s="31">
        <f>ROUND((1.58/1000)*10000,2)*1</f>
        <v>15.8</v>
      </c>
      <c r="F39" s="22">
        <v>408462</v>
      </c>
      <c r="G39" s="22">
        <f t="shared" ref="G39:G44" si="2">ROUND(E39*F39,0)</f>
        <v>6453700</v>
      </c>
      <c r="H39" s="25" t="s">
        <v>42</v>
      </c>
    </row>
    <row r="40" spans="1:8" s="7" customFormat="1" ht="33" x14ac:dyDescent="0.25">
      <c r="A40" s="41" t="s">
        <v>96</v>
      </c>
      <c r="B40" s="20" t="s">
        <v>43</v>
      </c>
      <c r="C40" s="21" t="s">
        <v>72</v>
      </c>
      <c r="D40" s="20" t="s">
        <v>23</v>
      </c>
      <c r="E40" s="31">
        <f>ROUND((4.76/1000)*E28,2)*1*1.42</f>
        <v>7.3129999999999997</v>
      </c>
      <c r="F40" s="22">
        <v>408462</v>
      </c>
      <c r="G40" s="22">
        <f t="shared" si="2"/>
        <v>2987083</v>
      </c>
      <c r="H40" s="25" t="s">
        <v>58</v>
      </c>
    </row>
    <row r="41" spans="1:8" s="7" customFormat="1" x14ac:dyDescent="0.25">
      <c r="A41" s="41" t="s">
        <v>97</v>
      </c>
      <c r="B41" s="20" t="s">
        <v>44</v>
      </c>
      <c r="C41" s="21" t="s">
        <v>60</v>
      </c>
      <c r="D41" s="20" t="s">
        <v>23</v>
      </c>
      <c r="E41" s="31">
        <f>ROUND((1.05/1000)*10000,2)*1</f>
        <v>10.5</v>
      </c>
      <c r="F41" s="22">
        <v>408462</v>
      </c>
      <c r="G41" s="22">
        <f t="shared" si="2"/>
        <v>4288851</v>
      </c>
      <c r="H41" s="25" t="s">
        <v>45</v>
      </c>
    </row>
    <row r="42" spans="1:8" s="7" customFormat="1" ht="33" x14ac:dyDescent="0.25">
      <c r="A42" s="41" t="s">
        <v>98</v>
      </c>
      <c r="B42" s="20" t="s">
        <v>43</v>
      </c>
      <c r="C42" s="21" t="s">
        <v>73</v>
      </c>
      <c r="D42" s="20" t="s">
        <v>23</v>
      </c>
      <c r="E42" s="31">
        <f>ROUND((4.76/1000)*833,2)*1*1.42</f>
        <v>5.6374000000000004</v>
      </c>
      <c r="F42" s="22">
        <v>408462</v>
      </c>
      <c r="G42" s="22">
        <f t="shared" si="2"/>
        <v>2302664</v>
      </c>
      <c r="H42" s="25" t="s">
        <v>58</v>
      </c>
    </row>
    <row r="43" spans="1:8" s="7" customFormat="1" ht="66" x14ac:dyDescent="0.25">
      <c r="A43" s="41" t="s">
        <v>100</v>
      </c>
      <c r="B43" s="20" t="s">
        <v>52</v>
      </c>
      <c r="C43" s="21" t="s">
        <v>61</v>
      </c>
      <c r="D43" s="20" t="s">
        <v>23</v>
      </c>
      <c r="E43" s="31">
        <f>ROUND((2.19/1000)*2000,2)</f>
        <v>4.38</v>
      </c>
      <c r="F43" s="22">
        <v>408462</v>
      </c>
      <c r="G43" s="22">
        <f t="shared" si="2"/>
        <v>1789064</v>
      </c>
      <c r="H43" s="25" t="s">
        <v>53</v>
      </c>
    </row>
    <row r="44" spans="1:8" s="7" customFormat="1" ht="99" x14ac:dyDescent="0.25">
      <c r="A44" s="41" t="s">
        <v>101</v>
      </c>
      <c r="B44" s="20" t="s">
        <v>46</v>
      </c>
      <c r="C44" s="21" t="s">
        <v>47</v>
      </c>
      <c r="D44" s="20" t="s">
        <v>23</v>
      </c>
      <c r="E44" s="31">
        <v>7.28</v>
      </c>
      <c r="F44" s="22">
        <v>408462</v>
      </c>
      <c r="G44" s="22">
        <f t="shared" si="2"/>
        <v>2973603</v>
      </c>
      <c r="H44" s="25" t="s">
        <v>74</v>
      </c>
    </row>
    <row r="45" spans="1:8" s="64" customFormat="1" ht="17.25" x14ac:dyDescent="0.25">
      <c r="A45" s="61" t="s">
        <v>48</v>
      </c>
      <c r="B45" s="61"/>
      <c r="C45" s="62" t="s">
        <v>18</v>
      </c>
      <c r="D45" s="65" t="s">
        <v>23</v>
      </c>
      <c r="E45" s="66">
        <f>SUM(E46:E52)</f>
        <v>56.784800000000004</v>
      </c>
      <c r="F45" s="67"/>
      <c r="G45" s="45">
        <f>SUM(G46:G52)</f>
        <v>23194434</v>
      </c>
      <c r="H45" s="45"/>
    </row>
    <row r="46" spans="1:8" s="7" customFormat="1" ht="16.5" customHeight="1" x14ac:dyDescent="0.25">
      <c r="A46" s="41" t="s">
        <v>95</v>
      </c>
      <c r="B46" s="20" t="s">
        <v>41</v>
      </c>
      <c r="C46" s="21" t="s">
        <v>59</v>
      </c>
      <c r="D46" s="20" t="s">
        <v>23</v>
      </c>
      <c r="E46" s="31">
        <f>ROUND((1.58/1000)*10000,2)*1</f>
        <v>15.8</v>
      </c>
      <c r="F46" s="22">
        <v>408462</v>
      </c>
      <c r="G46" s="22">
        <f t="shared" ref="G46:G52" si="3">ROUND(E46*F46,0)</f>
        <v>6453700</v>
      </c>
      <c r="H46" s="93" t="s">
        <v>75</v>
      </c>
    </row>
    <row r="47" spans="1:8" s="7" customFormat="1" ht="33" x14ac:dyDescent="0.25">
      <c r="A47" s="41" t="s">
        <v>96</v>
      </c>
      <c r="B47" s="20" t="s">
        <v>43</v>
      </c>
      <c r="C47" s="21" t="s">
        <v>76</v>
      </c>
      <c r="D47" s="20" t="s">
        <v>23</v>
      </c>
      <c r="E47" s="31">
        <f>ROUND((4.76/1000)*833,2)*1*1.42</f>
        <v>5.6374000000000004</v>
      </c>
      <c r="F47" s="22">
        <v>408462</v>
      </c>
      <c r="G47" s="22">
        <f t="shared" si="3"/>
        <v>2302664</v>
      </c>
      <c r="H47" s="94"/>
    </row>
    <row r="48" spans="1:8" s="7" customFormat="1" x14ac:dyDescent="0.25">
      <c r="A48" s="41" t="s">
        <v>97</v>
      </c>
      <c r="B48" s="20" t="s">
        <v>71</v>
      </c>
      <c r="C48" s="21" t="s">
        <v>37</v>
      </c>
      <c r="D48" s="20" t="s">
        <v>23</v>
      </c>
      <c r="E48" s="31">
        <f>ROUND((90.91/1000)*83,2)*1</f>
        <v>7.55</v>
      </c>
      <c r="F48" s="22">
        <v>408462</v>
      </c>
      <c r="G48" s="22">
        <f t="shared" si="3"/>
        <v>3083888</v>
      </c>
      <c r="H48" s="94"/>
    </row>
    <row r="49" spans="1:8" s="7" customFormat="1" x14ac:dyDescent="0.25">
      <c r="A49" s="41" t="s">
        <v>100</v>
      </c>
      <c r="B49" s="20" t="s">
        <v>44</v>
      </c>
      <c r="C49" s="21" t="s">
        <v>60</v>
      </c>
      <c r="D49" s="20" t="s">
        <v>23</v>
      </c>
      <c r="E49" s="31">
        <f>ROUND((1.05/1000)*10000,2)*1</f>
        <v>10.5</v>
      </c>
      <c r="F49" s="22">
        <v>408462</v>
      </c>
      <c r="G49" s="22">
        <f t="shared" si="3"/>
        <v>4288851</v>
      </c>
      <c r="H49" s="94"/>
    </row>
    <row r="50" spans="1:8" s="7" customFormat="1" ht="33" x14ac:dyDescent="0.25">
      <c r="A50" s="41" t="s">
        <v>101</v>
      </c>
      <c r="B50" s="20" t="s">
        <v>43</v>
      </c>
      <c r="C50" s="21" t="s">
        <v>77</v>
      </c>
      <c r="D50" s="20" t="s">
        <v>23</v>
      </c>
      <c r="E50" s="31">
        <f>ROUND((4.76/1000)*833,2)*1*1.42</f>
        <v>5.6374000000000004</v>
      </c>
      <c r="F50" s="22">
        <v>408462</v>
      </c>
      <c r="G50" s="22">
        <f t="shared" si="3"/>
        <v>2302664</v>
      </c>
      <c r="H50" s="94"/>
    </row>
    <row r="51" spans="1:8" s="7" customFormat="1" x14ac:dyDescent="0.25">
      <c r="A51" s="41" t="s">
        <v>102</v>
      </c>
      <c r="B51" s="20" t="s">
        <v>52</v>
      </c>
      <c r="C51" s="21" t="s">
        <v>61</v>
      </c>
      <c r="D51" s="20" t="s">
        <v>23</v>
      </c>
      <c r="E51" s="31">
        <f>ROUND((2.19/1000)*2000,2)</f>
        <v>4.38</v>
      </c>
      <c r="F51" s="22">
        <v>408462</v>
      </c>
      <c r="G51" s="22">
        <f t="shared" si="3"/>
        <v>1789064</v>
      </c>
      <c r="H51" s="94"/>
    </row>
    <row r="52" spans="1:8" s="7" customFormat="1" x14ac:dyDescent="0.25">
      <c r="A52" s="41" t="s">
        <v>103</v>
      </c>
      <c r="B52" s="20" t="s">
        <v>46</v>
      </c>
      <c r="C52" s="21" t="s">
        <v>47</v>
      </c>
      <c r="D52" s="20" t="s">
        <v>23</v>
      </c>
      <c r="E52" s="31">
        <v>7.28</v>
      </c>
      <c r="F52" s="22">
        <v>408462</v>
      </c>
      <c r="G52" s="22">
        <f t="shared" si="3"/>
        <v>2973603</v>
      </c>
      <c r="H52" s="95"/>
    </row>
    <row r="53" spans="1:8" s="68" customFormat="1" ht="17.25" x14ac:dyDescent="0.25">
      <c r="A53" s="61" t="s">
        <v>78</v>
      </c>
      <c r="B53" s="61"/>
      <c r="C53" s="62" t="s">
        <v>19</v>
      </c>
      <c r="D53" s="61" t="s">
        <v>23</v>
      </c>
      <c r="E53" s="66">
        <f>SUM(E54:E60)</f>
        <v>55.927999999999997</v>
      </c>
      <c r="F53" s="67"/>
      <c r="G53" s="45">
        <f>SUM(G54:G60)</f>
        <v>22844463</v>
      </c>
      <c r="H53" s="45"/>
    </row>
    <row r="54" spans="1:8" s="7" customFormat="1" ht="16.5" customHeight="1" x14ac:dyDescent="0.25">
      <c r="A54" s="41" t="s">
        <v>95</v>
      </c>
      <c r="B54" s="20" t="s">
        <v>49</v>
      </c>
      <c r="C54" s="21" t="s">
        <v>59</v>
      </c>
      <c r="D54" s="20" t="s">
        <v>23</v>
      </c>
      <c r="E54" s="31">
        <f>ROUND((1.3/1000)*10000,2)*1</f>
        <v>13</v>
      </c>
      <c r="F54" s="22">
        <v>408462</v>
      </c>
      <c r="G54" s="22">
        <f t="shared" ref="G54:G60" si="4">ROUND(E54*F54,0)</f>
        <v>5310006</v>
      </c>
      <c r="H54" s="93" t="s">
        <v>79</v>
      </c>
    </row>
    <row r="55" spans="1:8" s="7" customFormat="1" ht="33" x14ac:dyDescent="0.25">
      <c r="A55" s="41" t="s">
        <v>96</v>
      </c>
      <c r="B55" s="20" t="s">
        <v>43</v>
      </c>
      <c r="C55" s="21" t="s">
        <v>72</v>
      </c>
      <c r="D55" s="20" t="s">
        <v>23</v>
      </c>
      <c r="E55" s="31">
        <f>ROUND((4.76/1000)*833,2)*1*1.42</f>
        <v>5.6374000000000004</v>
      </c>
      <c r="F55" s="22">
        <v>408462</v>
      </c>
      <c r="G55" s="22">
        <f t="shared" si="4"/>
        <v>2302664</v>
      </c>
      <c r="H55" s="94"/>
    </row>
    <row r="56" spans="1:8" s="7" customFormat="1" x14ac:dyDescent="0.25">
      <c r="A56" s="41" t="s">
        <v>97</v>
      </c>
      <c r="B56" s="20" t="s">
        <v>71</v>
      </c>
      <c r="C56" s="21" t="s">
        <v>37</v>
      </c>
      <c r="D56" s="20" t="s">
        <v>23</v>
      </c>
      <c r="E56" s="31">
        <f>ROUND((90.91/1000)*83,2)*1</f>
        <v>7.55</v>
      </c>
      <c r="F56" s="22">
        <v>408462</v>
      </c>
      <c r="G56" s="22">
        <f t="shared" si="4"/>
        <v>3083888</v>
      </c>
      <c r="H56" s="94"/>
    </row>
    <row r="57" spans="1:8" s="7" customFormat="1" x14ac:dyDescent="0.25">
      <c r="A57" s="41" t="s">
        <v>100</v>
      </c>
      <c r="B57" s="20" t="s">
        <v>50</v>
      </c>
      <c r="C57" s="21" t="s">
        <v>60</v>
      </c>
      <c r="D57" s="20" t="s">
        <v>23</v>
      </c>
      <c r="E57" s="31">
        <f>ROUND((1.25/1000)*10000,2)*1</f>
        <v>12.5</v>
      </c>
      <c r="F57" s="22">
        <v>408462</v>
      </c>
      <c r="G57" s="22">
        <f t="shared" si="4"/>
        <v>5105775</v>
      </c>
      <c r="H57" s="94"/>
    </row>
    <row r="58" spans="1:8" s="7" customFormat="1" ht="33" x14ac:dyDescent="0.25">
      <c r="A58" s="41" t="s">
        <v>101</v>
      </c>
      <c r="B58" s="20" t="s">
        <v>43</v>
      </c>
      <c r="C58" s="21" t="s">
        <v>80</v>
      </c>
      <c r="D58" s="20" t="s">
        <v>23</v>
      </c>
      <c r="E58" s="31">
        <f>ROUND((4.76/1000)*825,2)*1*1.42</f>
        <v>5.5805999999999996</v>
      </c>
      <c r="F58" s="22">
        <v>408462</v>
      </c>
      <c r="G58" s="22">
        <f t="shared" si="4"/>
        <v>2279463</v>
      </c>
      <c r="H58" s="94"/>
    </row>
    <row r="59" spans="1:8" s="7" customFormat="1" x14ac:dyDescent="0.25">
      <c r="A59" s="41" t="s">
        <v>102</v>
      </c>
      <c r="B59" s="20" t="s">
        <v>52</v>
      </c>
      <c r="C59" s="21" t="s">
        <v>61</v>
      </c>
      <c r="D59" s="20" t="s">
        <v>23</v>
      </c>
      <c r="E59" s="31">
        <f>ROUND((2.19/1000)*2000,2)</f>
        <v>4.38</v>
      </c>
      <c r="F59" s="22">
        <v>408462</v>
      </c>
      <c r="G59" s="22">
        <f t="shared" si="4"/>
        <v>1789064</v>
      </c>
      <c r="H59" s="94"/>
    </row>
    <row r="60" spans="1:8" s="7" customFormat="1" x14ac:dyDescent="0.25">
      <c r="A60" s="41" t="s">
        <v>103</v>
      </c>
      <c r="B60" s="20" t="s">
        <v>46</v>
      </c>
      <c r="C60" s="21" t="s">
        <v>47</v>
      </c>
      <c r="D60" s="20" t="s">
        <v>23</v>
      </c>
      <c r="E60" s="31">
        <v>7.28</v>
      </c>
      <c r="F60" s="22">
        <v>408462</v>
      </c>
      <c r="G60" s="22">
        <f t="shared" si="4"/>
        <v>2973603</v>
      </c>
      <c r="H60" s="95"/>
    </row>
    <row r="61" spans="1:8" s="68" customFormat="1" ht="17.25" x14ac:dyDescent="0.25">
      <c r="A61" s="61" t="s">
        <v>81</v>
      </c>
      <c r="B61" s="61"/>
      <c r="C61" s="62" t="s">
        <v>51</v>
      </c>
      <c r="D61" s="61" t="s">
        <v>23</v>
      </c>
      <c r="E61" s="66">
        <f>SUM(E62:E68)</f>
        <v>55.927999999999997</v>
      </c>
      <c r="F61" s="67"/>
      <c r="G61" s="45">
        <f>SUM(G62:G68)</f>
        <v>22844463</v>
      </c>
      <c r="H61" s="45"/>
    </row>
    <row r="62" spans="1:8" s="7" customFormat="1" ht="16.5" customHeight="1" x14ac:dyDescent="0.25">
      <c r="A62" s="41" t="s">
        <v>95</v>
      </c>
      <c r="B62" s="20" t="s">
        <v>49</v>
      </c>
      <c r="C62" s="21" t="s">
        <v>59</v>
      </c>
      <c r="D62" s="20" t="s">
        <v>23</v>
      </c>
      <c r="E62" s="31">
        <f>ROUND((1.3/1000)*10000,2)*1</f>
        <v>13</v>
      </c>
      <c r="F62" s="22">
        <v>408462</v>
      </c>
      <c r="G62" s="22">
        <f t="shared" ref="G62:G68" si="5">ROUND(E62*F62,0)</f>
        <v>5310006</v>
      </c>
      <c r="H62" s="96" t="s">
        <v>82</v>
      </c>
    </row>
    <row r="63" spans="1:8" s="7" customFormat="1" ht="16.5" customHeight="1" x14ac:dyDescent="0.25">
      <c r="A63" s="41"/>
      <c r="B63" s="20" t="s">
        <v>43</v>
      </c>
      <c r="C63" s="21" t="s">
        <v>72</v>
      </c>
      <c r="D63" s="20" t="s">
        <v>23</v>
      </c>
      <c r="E63" s="31">
        <f>ROUND((4.76/1000)*833,2)*1*1.42</f>
        <v>5.6374000000000004</v>
      </c>
      <c r="F63" s="22">
        <v>408462</v>
      </c>
      <c r="G63" s="22">
        <f t="shared" si="5"/>
        <v>2302664</v>
      </c>
      <c r="H63" s="96"/>
    </row>
    <row r="64" spans="1:8" s="7" customFormat="1" ht="16.5" customHeight="1" x14ac:dyDescent="0.25">
      <c r="A64" s="41"/>
      <c r="B64" s="20" t="s">
        <v>71</v>
      </c>
      <c r="C64" s="21" t="s">
        <v>37</v>
      </c>
      <c r="D64" s="20" t="s">
        <v>23</v>
      </c>
      <c r="E64" s="31">
        <f>ROUND((90.91/1000)*83,2)*1</f>
        <v>7.55</v>
      </c>
      <c r="F64" s="22">
        <v>408462</v>
      </c>
      <c r="G64" s="22">
        <f t="shared" si="5"/>
        <v>3083888</v>
      </c>
      <c r="H64" s="96"/>
    </row>
    <row r="65" spans="1:8" s="7" customFormat="1" ht="16.5" customHeight="1" x14ac:dyDescent="0.25">
      <c r="A65" s="41"/>
      <c r="B65" s="20" t="s">
        <v>50</v>
      </c>
      <c r="C65" s="21" t="s">
        <v>60</v>
      </c>
      <c r="D65" s="20" t="s">
        <v>23</v>
      </c>
      <c r="E65" s="31">
        <f>ROUND((1.25/1000)*10000,2)*1</f>
        <v>12.5</v>
      </c>
      <c r="F65" s="22">
        <v>408462</v>
      </c>
      <c r="G65" s="22">
        <f t="shared" si="5"/>
        <v>5105775</v>
      </c>
      <c r="H65" s="96"/>
    </row>
    <row r="66" spans="1:8" s="7" customFormat="1" ht="16.5" customHeight="1" x14ac:dyDescent="0.25">
      <c r="A66" s="41"/>
      <c r="B66" s="20" t="s">
        <v>43</v>
      </c>
      <c r="C66" s="21" t="s">
        <v>80</v>
      </c>
      <c r="D66" s="20" t="s">
        <v>23</v>
      </c>
      <c r="E66" s="31">
        <f>ROUND((4.76/1000)*825,2)*1*1.42</f>
        <v>5.5805999999999996</v>
      </c>
      <c r="F66" s="22">
        <v>408462</v>
      </c>
      <c r="G66" s="22">
        <f t="shared" si="5"/>
        <v>2279463</v>
      </c>
      <c r="H66" s="96"/>
    </row>
    <row r="67" spans="1:8" s="7" customFormat="1" ht="16.5" customHeight="1" x14ac:dyDescent="0.25">
      <c r="A67" s="41"/>
      <c r="B67" s="20" t="s">
        <v>52</v>
      </c>
      <c r="C67" s="21" t="s">
        <v>61</v>
      </c>
      <c r="D67" s="20" t="s">
        <v>23</v>
      </c>
      <c r="E67" s="31">
        <f>ROUND((2.19/1000)*2000,2)</f>
        <v>4.38</v>
      </c>
      <c r="F67" s="22">
        <v>408462</v>
      </c>
      <c r="G67" s="22">
        <f t="shared" si="5"/>
        <v>1789064</v>
      </c>
      <c r="H67" s="96"/>
    </row>
    <row r="68" spans="1:8" s="7" customFormat="1" x14ac:dyDescent="0.25">
      <c r="A68" s="41" t="s">
        <v>96</v>
      </c>
      <c r="B68" s="20" t="s">
        <v>46</v>
      </c>
      <c r="C68" s="21" t="s">
        <v>47</v>
      </c>
      <c r="D68" s="20" t="s">
        <v>23</v>
      </c>
      <c r="E68" s="31">
        <v>7.28</v>
      </c>
      <c r="F68" s="22">
        <v>408462</v>
      </c>
      <c r="G68" s="22">
        <f t="shared" si="5"/>
        <v>2973603</v>
      </c>
      <c r="H68" s="96"/>
    </row>
    <row r="69" spans="1:8" s="64" customFormat="1" ht="17.25" x14ac:dyDescent="0.25">
      <c r="A69" s="44"/>
      <c r="B69" s="61" t="s">
        <v>83</v>
      </c>
      <c r="C69" s="62" t="s">
        <v>54</v>
      </c>
      <c r="D69" s="61"/>
      <c r="E69" s="66">
        <f>SUM(E70:E76)</f>
        <v>55.927999999999997</v>
      </c>
      <c r="F69" s="67"/>
      <c r="G69" s="45">
        <f>SUM(G70:G76)</f>
        <v>22844463</v>
      </c>
      <c r="H69" s="45"/>
    </row>
    <row r="70" spans="1:8" s="7" customFormat="1" ht="17.25" x14ac:dyDescent="0.25">
      <c r="A70" s="82"/>
      <c r="B70" s="20" t="s">
        <v>49</v>
      </c>
      <c r="C70" s="21" t="s">
        <v>59</v>
      </c>
      <c r="D70" s="20" t="s">
        <v>23</v>
      </c>
      <c r="E70" s="31">
        <f>ROUND((1.3/1000)*10000,2)*1</f>
        <v>13</v>
      </c>
      <c r="F70" s="22">
        <v>408462</v>
      </c>
      <c r="G70" s="22">
        <f t="shared" ref="G70:G76" si="6">ROUND(E70*F70,0)</f>
        <v>5310006</v>
      </c>
      <c r="H70" s="29"/>
    </row>
    <row r="71" spans="1:8" s="7" customFormat="1" ht="30" customHeight="1" x14ac:dyDescent="0.25">
      <c r="A71" s="82"/>
      <c r="B71" s="20" t="s">
        <v>43</v>
      </c>
      <c r="C71" s="21" t="s">
        <v>72</v>
      </c>
      <c r="D71" s="20" t="s">
        <v>23</v>
      </c>
      <c r="E71" s="31">
        <f>ROUND((4.76/1000)*833,2)*1*1.42</f>
        <v>5.6374000000000004</v>
      </c>
      <c r="F71" s="22">
        <v>408462</v>
      </c>
      <c r="G71" s="22">
        <f t="shared" si="6"/>
        <v>2302664</v>
      </c>
      <c r="H71" s="29"/>
    </row>
    <row r="72" spans="1:8" s="7" customFormat="1" ht="17.25" x14ac:dyDescent="0.25">
      <c r="A72" s="82"/>
      <c r="B72" s="20" t="s">
        <v>71</v>
      </c>
      <c r="C72" s="21" t="s">
        <v>37</v>
      </c>
      <c r="D72" s="20" t="s">
        <v>23</v>
      </c>
      <c r="E72" s="31">
        <f>ROUND((90.91/1000)*83,2)*1</f>
        <v>7.55</v>
      </c>
      <c r="F72" s="22">
        <v>408462</v>
      </c>
      <c r="G72" s="22">
        <f t="shared" si="6"/>
        <v>3083888</v>
      </c>
      <c r="H72" s="29"/>
    </row>
    <row r="73" spans="1:8" s="7" customFormat="1" ht="17.25" x14ac:dyDescent="0.25">
      <c r="A73" s="82"/>
      <c r="B73" s="20" t="s">
        <v>50</v>
      </c>
      <c r="C73" s="21" t="s">
        <v>60</v>
      </c>
      <c r="D73" s="20" t="s">
        <v>23</v>
      </c>
      <c r="E73" s="31">
        <f>ROUND((1.25/1000)*10000,2)*1</f>
        <v>12.5</v>
      </c>
      <c r="F73" s="22">
        <v>408462</v>
      </c>
      <c r="G73" s="22">
        <f t="shared" si="6"/>
        <v>5105775</v>
      </c>
      <c r="H73" s="29"/>
    </row>
    <row r="74" spans="1:8" s="7" customFormat="1" ht="33" x14ac:dyDescent="0.25">
      <c r="A74" s="82"/>
      <c r="B74" s="20" t="s">
        <v>43</v>
      </c>
      <c r="C74" s="21" t="s">
        <v>80</v>
      </c>
      <c r="D74" s="20" t="s">
        <v>23</v>
      </c>
      <c r="E74" s="31">
        <f>ROUND((4.76/1000)*825,2)*1*1.42</f>
        <v>5.5805999999999996</v>
      </c>
      <c r="F74" s="22">
        <v>408462</v>
      </c>
      <c r="G74" s="22">
        <f t="shared" si="6"/>
        <v>2279463</v>
      </c>
      <c r="H74" s="29"/>
    </row>
    <row r="75" spans="1:8" s="7" customFormat="1" ht="17.25" x14ac:dyDescent="0.25">
      <c r="A75" s="82"/>
      <c r="B75" s="20" t="s">
        <v>52</v>
      </c>
      <c r="C75" s="21" t="s">
        <v>61</v>
      </c>
      <c r="D75" s="20" t="s">
        <v>23</v>
      </c>
      <c r="E75" s="31">
        <f>ROUND((2.19/1000)*2000,2)</f>
        <v>4.38</v>
      </c>
      <c r="F75" s="22">
        <v>408462</v>
      </c>
      <c r="G75" s="22">
        <f t="shared" si="6"/>
        <v>1789064</v>
      </c>
      <c r="H75" s="29"/>
    </row>
    <row r="76" spans="1:8" s="7" customFormat="1" ht="16.5" customHeight="1" x14ac:dyDescent="0.25">
      <c r="A76" s="46" t="s">
        <v>95</v>
      </c>
      <c r="B76" s="32" t="s">
        <v>46</v>
      </c>
      <c r="C76" s="33" t="s">
        <v>47</v>
      </c>
      <c r="D76" s="32" t="s">
        <v>23</v>
      </c>
      <c r="E76" s="34">
        <v>7.28</v>
      </c>
      <c r="F76" s="35">
        <v>408462</v>
      </c>
      <c r="G76" s="35">
        <f t="shared" si="6"/>
        <v>2973603</v>
      </c>
      <c r="H76" s="36" t="s">
        <v>84</v>
      </c>
    </row>
    <row r="77" spans="1:8" s="73" customFormat="1" x14ac:dyDescent="0.25">
      <c r="A77" s="70"/>
      <c r="B77" s="70" t="s">
        <v>106</v>
      </c>
      <c r="C77" s="70" t="s">
        <v>105</v>
      </c>
      <c r="D77" s="70"/>
      <c r="E77" s="71"/>
      <c r="F77" s="72"/>
      <c r="G77" s="72">
        <f>G78+G79</f>
        <v>4762667</v>
      </c>
      <c r="H77" s="72"/>
    </row>
    <row r="78" spans="1:8" ht="17.25" x14ac:dyDescent="0.25">
      <c r="A78" s="69"/>
      <c r="B78" s="32" t="s">
        <v>52</v>
      </c>
      <c r="C78" s="33" t="s">
        <v>61</v>
      </c>
      <c r="D78" s="32" t="s">
        <v>23</v>
      </c>
      <c r="E78" s="34">
        <f>ROUND((2.19/1000)*2000,2)</f>
        <v>4.38</v>
      </c>
      <c r="F78" s="35">
        <v>408462</v>
      </c>
      <c r="G78" s="35">
        <f t="shared" ref="G78:G79" si="7">ROUND(E78*F78,0)</f>
        <v>1789064</v>
      </c>
      <c r="H78" s="45"/>
    </row>
    <row r="79" spans="1:8" ht="33" x14ac:dyDescent="0.25">
      <c r="A79" s="69"/>
      <c r="B79" s="32" t="s">
        <v>46</v>
      </c>
      <c r="C79" s="33" t="s">
        <v>47</v>
      </c>
      <c r="D79" s="32" t="s">
        <v>23</v>
      </c>
      <c r="E79" s="34">
        <v>7.28</v>
      </c>
      <c r="F79" s="35">
        <v>408462</v>
      </c>
      <c r="G79" s="35">
        <f t="shared" si="7"/>
        <v>2973603</v>
      </c>
      <c r="H79" s="36" t="s">
        <v>84</v>
      </c>
    </row>
    <row r="81" spans="3:8" ht="83.25" customHeight="1" x14ac:dyDescent="0.25">
      <c r="C81" s="92" t="s">
        <v>166</v>
      </c>
      <c r="D81" s="92"/>
      <c r="E81" s="92"/>
      <c r="F81" s="92"/>
      <c r="G81" s="92"/>
      <c r="H81" s="92"/>
    </row>
  </sheetData>
  <mergeCells count="21">
    <mergeCell ref="A1:H1"/>
    <mergeCell ref="H24:H26"/>
    <mergeCell ref="A2:H2"/>
    <mergeCell ref="B6:H6"/>
    <mergeCell ref="B7:H7"/>
    <mergeCell ref="B5:H5"/>
    <mergeCell ref="A14:A15"/>
    <mergeCell ref="C14:C15"/>
    <mergeCell ref="D14:G14"/>
    <mergeCell ref="B9:H9"/>
    <mergeCell ref="B10:H10"/>
    <mergeCell ref="B11:H11"/>
    <mergeCell ref="B12:H12"/>
    <mergeCell ref="H18:H22"/>
    <mergeCell ref="B8:H8"/>
    <mergeCell ref="C81:H81"/>
    <mergeCell ref="H54:H60"/>
    <mergeCell ref="H62:H68"/>
    <mergeCell ref="H46:H52"/>
    <mergeCell ref="B14:B15"/>
    <mergeCell ref="H14:H15"/>
  </mergeCells>
  <printOptions horizontalCentered="1"/>
  <pageMargins left="0.51181102362204722" right="0.51181102362204722" top="0.55118110236220474" bottom="0.55118110236220474" header="0.31496062992125984" footer="0.31496062992125984"/>
  <pageSetup paperSize="9" orientation="landscape" horizontalDpi="0" verticalDpi="0"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5"/>
  <sheetViews>
    <sheetView topLeftCell="A28" workbookViewId="0">
      <selection activeCell="P33" sqref="P33"/>
    </sheetView>
  </sheetViews>
  <sheetFormatPr defaultRowHeight="15.75" x14ac:dyDescent="0.25"/>
  <cols>
    <col min="1" max="1" width="15.125" style="47" customWidth="1"/>
    <col min="2" max="2" width="6.5" style="50" customWidth="1"/>
    <col min="3" max="3" width="10.375" style="50" customWidth="1"/>
    <col min="4" max="4" width="11.875" style="47" customWidth="1"/>
    <col min="5" max="5" width="11.375" style="58" customWidth="1"/>
    <col min="6" max="6" width="11" style="58" customWidth="1"/>
    <col min="7" max="7" width="10.125" style="47" customWidth="1"/>
    <col min="8" max="8" width="14.75" style="47" customWidth="1"/>
    <col min="9" max="9" width="11.375" style="47" customWidth="1"/>
    <col min="10" max="10" width="13" style="47" customWidth="1"/>
    <col min="11" max="11" width="13.375" style="47" customWidth="1"/>
    <col min="12" max="12" width="12.75" style="47" customWidth="1"/>
    <col min="13" max="13" width="9" style="47"/>
    <col min="14" max="14" width="10.25" style="47" bestFit="1" customWidth="1"/>
    <col min="15" max="16384" width="9" style="47"/>
  </cols>
  <sheetData>
    <row r="2" spans="1:14" x14ac:dyDescent="0.25">
      <c r="A2" s="47">
        <v>1</v>
      </c>
      <c r="B2" s="103" t="s">
        <v>128</v>
      </c>
      <c r="C2" s="103"/>
      <c r="D2" s="103"/>
      <c r="E2" s="103"/>
      <c r="F2" s="103"/>
      <c r="G2" s="103"/>
      <c r="H2" s="103"/>
      <c r="I2" s="103"/>
    </row>
    <row r="4" spans="1:14" ht="138" customHeight="1" x14ac:dyDescent="0.25">
      <c r="B4" s="48" t="s">
        <v>124</v>
      </c>
      <c r="C4" s="55" t="s">
        <v>125</v>
      </c>
      <c r="D4" s="55" t="s">
        <v>167</v>
      </c>
      <c r="E4" s="75" t="s">
        <v>168</v>
      </c>
      <c r="F4" s="75" t="s">
        <v>169</v>
      </c>
      <c r="G4" s="55" t="s">
        <v>170</v>
      </c>
      <c r="H4" s="85" t="s">
        <v>164</v>
      </c>
      <c r="I4" s="55" t="s">
        <v>171</v>
      </c>
      <c r="J4" s="55" t="s">
        <v>126</v>
      </c>
    </row>
    <row r="5" spans="1:14" x14ac:dyDescent="0.25">
      <c r="B5" s="48"/>
      <c r="C5" s="79">
        <v>1</v>
      </c>
      <c r="D5" s="79">
        <v>2</v>
      </c>
      <c r="E5" s="81">
        <v>3</v>
      </c>
      <c r="F5" s="81">
        <v>4</v>
      </c>
      <c r="G5" s="79" t="s">
        <v>127</v>
      </c>
      <c r="H5" s="91">
        <v>6</v>
      </c>
      <c r="I5" s="79">
        <v>7</v>
      </c>
      <c r="J5" s="80" t="s">
        <v>165</v>
      </c>
    </row>
    <row r="6" spans="1:14" x14ac:dyDescent="0.25">
      <c r="B6" s="49">
        <v>1</v>
      </c>
      <c r="C6" s="49">
        <f>B6*1.5</f>
        <v>1.5</v>
      </c>
      <c r="D6" s="51">
        <f>'DT CHI PHÍ 01HA'!G17+'DT CHI PHÍ 01HA'!G31+'DT CHI PHÍ 01HA'!G38</f>
        <v>96928532</v>
      </c>
      <c r="E6" s="59">
        <f>D6/833</f>
        <v>116360.78271308524</v>
      </c>
      <c r="F6" s="59">
        <f>E6</f>
        <v>116360.78271308524</v>
      </c>
      <c r="G6" s="74">
        <v>0</v>
      </c>
      <c r="H6" s="90">
        <v>0</v>
      </c>
      <c r="I6" s="49">
        <v>0</v>
      </c>
      <c r="J6" s="77">
        <f>F6+G6+I6</f>
        <v>116360.78271308524</v>
      </c>
    </row>
    <row r="7" spans="1:14" x14ac:dyDescent="0.25">
      <c r="B7" s="49">
        <v>2</v>
      </c>
      <c r="C7" s="49">
        <f t="shared" ref="C7:C35" si="0">B7*1.5</f>
        <v>3</v>
      </c>
      <c r="D7" s="51">
        <f>'DT CHI PHÍ 01HA'!G45</f>
        <v>23194434</v>
      </c>
      <c r="E7" s="59">
        <f t="shared" ref="E7:E35" si="1">D7/833</f>
        <v>27844.458583433374</v>
      </c>
      <c r="F7" s="59">
        <f>F6+E7</f>
        <v>144205.24129651862</v>
      </c>
      <c r="G7" s="74">
        <v>0</v>
      </c>
      <c r="H7" s="90">
        <v>0</v>
      </c>
      <c r="I7" s="49">
        <v>0</v>
      </c>
      <c r="J7" s="77">
        <f t="shared" ref="J7:J35" si="2">F7+G7+I7</f>
        <v>144205.24129651862</v>
      </c>
    </row>
    <row r="8" spans="1:14" x14ac:dyDescent="0.25">
      <c r="B8" s="49">
        <v>3</v>
      </c>
      <c r="C8" s="49">
        <f t="shared" si="0"/>
        <v>4.5</v>
      </c>
      <c r="D8" s="51">
        <f>'DT CHI PHÍ 01HA'!G53</f>
        <v>22844463</v>
      </c>
      <c r="E8" s="59">
        <f t="shared" si="1"/>
        <v>27424.325330132051</v>
      </c>
      <c r="F8" s="59">
        <f>F6+E7+E8</f>
        <v>171629.56662665069</v>
      </c>
      <c r="G8" s="74">
        <v>0</v>
      </c>
      <c r="H8" s="90">
        <v>0</v>
      </c>
      <c r="I8" s="49">
        <v>0</v>
      </c>
      <c r="J8" s="77">
        <f t="shared" si="2"/>
        <v>171629.56662665069</v>
      </c>
    </row>
    <row r="9" spans="1:14" x14ac:dyDescent="0.25">
      <c r="B9" s="49">
        <v>4</v>
      </c>
      <c r="C9" s="49">
        <f t="shared" si="0"/>
        <v>6</v>
      </c>
      <c r="D9" s="51">
        <f>'DT CHI PHÍ 01HA'!G61</f>
        <v>22844463</v>
      </c>
      <c r="E9" s="59">
        <f t="shared" si="1"/>
        <v>27424.325330132051</v>
      </c>
      <c r="F9" s="59">
        <f t="shared" ref="F9:F17" si="3">F8+E9</f>
        <v>199053.89195678273</v>
      </c>
      <c r="G9" s="74">
        <v>0</v>
      </c>
      <c r="H9" s="90">
        <v>0</v>
      </c>
      <c r="I9" s="49">
        <v>0</v>
      </c>
      <c r="J9" s="77">
        <f t="shared" si="2"/>
        <v>199053.89195678273</v>
      </c>
    </row>
    <row r="10" spans="1:14" x14ac:dyDescent="0.25">
      <c r="B10" s="49">
        <v>5</v>
      </c>
      <c r="C10" s="49">
        <f t="shared" si="0"/>
        <v>7.5</v>
      </c>
      <c r="D10" s="51">
        <f>'DT CHI PHÍ 01HA'!G69</f>
        <v>22844463</v>
      </c>
      <c r="E10" s="59">
        <f t="shared" si="1"/>
        <v>27424.325330132051</v>
      </c>
      <c r="F10" s="59">
        <f t="shared" si="3"/>
        <v>226478.21728691476</v>
      </c>
      <c r="G10" s="74">
        <f t="shared" ref="G10:G35" si="4">F10</f>
        <v>226478.21728691476</v>
      </c>
      <c r="H10" s="54">
        <v>40329936</v>
      </c>
      <c r="I10" s="59">
        <f>H10/350</f>
        <v>115228.38857142857</v>
      </c>
      <c r="J10" s="77">
        <f t="shared" si="2"/>
        <v>568184.82314525812</v>
      </c>
      <c r="M10" s="78"/>
    </row>
    <row r="11" spans="1:14" x14ac:dyDescent="0.25">
      <c r="B11" s="49">
        <v>6</v>
      </c>
      <c r="C11" s="49">
        <f t="shared" si="0"/>
        <v>9</v>
      </c>
      <c r="D11" s="51">
        <f>'DT CHI PHÍ 01HA'!G77</f>
        <v>4762667</v>
      </c>
      <c r="E11" s="59">
        <f t="shared" si="1"/>
        <v>5717.4873949579833</v>
      </c>
      <c r="F11" s="59">
        <f t="shared" si="3"/>
        <v>232195.70468187274</v>
      </c>
      <c r="G11" s="74">
        <f t="shared" si="4"/>
        <v>232195.70468187274</v>
      </c>
      <c r="H11" s="54">
        <v>43088504</v>
      </c>
      <c r="I11" s="59">
        <f t="shared" ref="I11:I35" si="5">H11/350</f>
        <v>123110.01142857142</v>
      </c>
      <c r="J11" s="77">
        <f t="shared" si="2"/>
        <v>587501.4207923169</v>
      </c>
      <c r="M11" s="78"/>
      <c r="N11" s="76"/>
    </row>
    <row r="12" spans="1:14" x14ac:dyDescent="0.25">
      <c r="B12" s="49">
        <v>7</v>
      </c>
      <c r="C12" s="49">
        <f t="shared" si="0"/>
        <v>10.5</v>
      </c>
      <c r="D12" s="51">
        <f>D11</f>
        <v>4762667</v>
      </c>
      <c r="E12" s="59">
        <f t="shared" si="1"/>
        <v>5717.4873949579833</v>
      </c>
      <c r="F12" s="59">
        <f t="shared" si="3"/>
        <v>237913.19207683072</v>
      </c>
      <c r="G12" s="74">
        <f t="shared" si="4"/>
        <v>237913.19207683072</v>
      </c>
      <c r="H12" s="54">
        <v>46035757</v>
      </c>
      <c r="I12" s="59">
        <f t="shared" si="5"/>
        <v>131530.73428571428</v>
      </c>
      <c r="J12" s="77">
        <f t="shared" si="2"/>
        <v>607357.11843937566</v>
      </c>
      <c r="M12" s="78"/>
    </row>
    <row r="13" spans="1:14" x14ac:dyDescent="0.25">
      <c r="B13" s="49">
        <v>8</v>
      </c>
      <c r="C13" s="49">
        <f t="shared" si="0"/>
        <v>12</v>
      </c>
      <c r="D13" s="51">
        <f>D12</f>
        <v>4762667</v>
      </c>
      <c r="E13" s="59">
        <f t="shared" si="1"/>
        <v>5717.4873949579833</v>
      </c>
      <c r="F13" s="59">
        <f t="shared" si="3"/>
        <v>243630.6794717887</v>
      </c>
      <c r="G13" s="74">
        <f t="shared" si="4"/>
        <v>243630.6794717887</v>
      </c>
      <c r="H13" s="54">
        <v>49184603</v>
      </c>
      <c r="I13" s="59">
        <f t="shared" si="5"/>
        <v>140527.43714285715</v>
      </c>
      <c r="J13" s="77">
        <f t="shared" si="2"/>
        <v>627788.79608643451</v>
      </c>
      <c r="M13" s="78"/>
    </row>
    <row r="14" spans="1:14" x14ac:dyDescent="0.25">
      <c r="B14" s="49">
        <v>9</v>
      </c>
      <c r="C14" s="49">
        <f t="shared" si="0"/>
        <v>13.5</v>
      </c>
      <c r="D14" s="51">
        <f>D13</f>
        <v>4762667</v>
      </c>
      <c r="E14" s="59">
        <f t="shared" si="1"/>
        <v>5717.4873949579833</v>
      </c>
      <c r="F14" s="59">
        <f t="shared" si="3"/>
        <v>249348.16686674667</v>
      </c>
      <c r="G14" s="74">
        <f t="shared" si="4"/>
        <v>249348.16686674667</v>
      </c>
      <c r="H14" s="54">
        <v>52548830</v>
      </c>
      <c r="I14" s="59">
        <f t="shared" si="5"/>
        <v>150139.51428571428</v>
      </c>
      <c r="J14" s="77">
        <f t="shared" si="2"/>
        <v>648835.84801920759</v>
      </c>
      <c r="M14" s="78"/>
    </row>
    <row r="15" spans="1:14" x14ac:dyDescent="0.25">
      <c r="B15" s="49">
        <v>10</v>
      </c>
      <c r="C15" s="49">
        <f t="shared" si="0"/>
        <v>15</v>
      </c>
      <c r="D15" s="51">
        <f>D14</f>
        <v>4762667</v>
      </c>
      <c r="E15" s="59">
        <f t="shared" si="1"/>
        <v>5717.4873949579833</v>
      </c>
      <c r="F15" s="59">
        <f t="shared" si="3"/>
        <v>255065.65426170465</v>
      </c>
      <c r="G15" s="74">
        <f t="shared" si="4"/>
        <v>255065.65426170465</v>
      </c>
      <c r="H15" s="54">
        <v>56143170</v>
      </c>
      <c r="I15" s="59">
        <f t="shared" si="5"/>
        <v>160409.05714285714</v>
      </c>
      <c r="J15" s="77">
        <f t="shared" si="2"/>
        <v>670540.36566626641</v>
      </c>
      <c r="M15" s="78"/>
    </row>
    <row r="16" spans="1:14" x14ac:dyDescent="0.25">
      <c r="B16" s="49">
        <v>11</v>
      </c>
      <c r="C16" s="49">
        <f t="shared" si="0"/>
        <v>16.5</v>
      </c>
      <c r="D16" s="51">
        <f t="shared" ref="D16" si="6">D15</f>
        <v>4762667</v>
      </c>
      <c r="E16" s="59">
        <f t="shared" si="1"/>
        <v>5717.4873949579833</v>
      </c>
      <c r="F16" s="59">
        <f t="shared" si="3"/>
        <v>260783.14165666263</v>
      </c>
      <c r="G16" s="74">
        <f t="shared" si="4"/>
        <v>260783.14165666263</v>
      </c>
      <c r="H16" s="54">
        <v>59983363</v>
      </c>
      <c r="I16" s="59">
        <f t="shared" si="5"/>
        <v>171381.03714285715</v>
      </c>
      <c r="J16" s="77">
        <f t="shared" si="2"/>
        <v>692947.32045618235</v>
      </c>
      <c r="M16" s="78"/>
    </row>
    <row r="17" spans="2:13" x14ac:dyDescent="0.25">
      <c r="B17" s="49">
        <v>12</v>
      </c>
      <c r="C17" s="49">
        <f t="shared" si="0"/>
        <v>18</v>
      </c>
      <c r="D17" s="51">
        <f>D16</f>
        <v>4762667</v>
      </c>
      <c r="E17" s="59">
        <f t="shared" si="1"/>
        <v>5717.4873949579833</v>
      </c>
      <c r="F17" s="59">
        <f t="shared" si="3"/>
        <v>266500.62905162061</v>
      </c>
      <c r="G17" s="74">
        <f t="shared" si="4"/>
        <v>266500.62905162061</v>
      </c>
      <c r="H17" s="54">
        <v>64086225</v>
      </c>
      <c r="I17" s="59">
        <f t="shared" si="5"/>
        <v>183103.5</v>
      </c>
      <c r="J17" s="77">
        <f t="shared" si="2"/>
        <v>716104.75810324121</v>
      </c>
      <c r="M17" s="78"/>
    </row>
    <row r="18" spans="2:13" x14ac:dyDescent="0.25">
      <c r="B18" s="49">
        <v>13</v>
      </c>
      <c r="C18" s="49">
        <f t="shared" si="0"/>
        <v>19.5</v>
      </c>
      <c r="D18" s="51">
        <f t="shared" ref="D18" si="7">D17</f>
        <v>4762667</v>
      </c>
      <c r="E18" s="59">
        <f t="shared" si="1"/>
        <v>5717.4873949579833</v>
      </c>
      <c r="F18" s="59">
        <f t="shared" ref="F18:F35" si="8">F17+E18</f>
        <v>272218.11644657858</v>
      </c>
      <c r="G18" s="74">
        <f t="shared" si="4"/>
        <v>272218.11644657858</v>
      </c>
      <c r="H18" s="54">
        <v>68469723</v>
      </c>
      <c r="I18" s="59">
        <f t="shared" si="5"/>
        <v>195627.78</v>
      </c>
      <c r="J18" s="77">
        <f t="shared" si="2"/>
        <v>740064.0128931572</v>
      </c>
      <c r="M18" s="78"/>
    </row>
    <row r="19" spans="2:13" x14ac:dyDescent="0.25">
      <c r="B19" s="49">
        <v>14</v>
      </c>
      <c r="C19" s="49">
        <f t="shared" si="0"/>
        <v>21</v>
      </c>
      <c r="D19" s="51">
        <f>D18</f>
        <v>4762667</v>
      </c>
      <c r="E19" s="59">
        <f t="shared" si="1"/>
        <v>5717.4873949579833</v>
      </c>
      <c r="F19" s="59">
        <f t="shared" si="8"/>
        <v>277935.60384153656</v>
      </c>
      <c r="G19" s="74">
        <f t="shared" si="4"/>
        <v>277935.60384153656</v>
      </c>
      <c r="H19" s="54">
        <v>73153052</v>
      </c>
      <c r="I19" s="59">
        <f t="shared" si="5"/>
        <v>209008.72</v>
      </c>
      <c r="J19" s="77">
        <f t="shared" si="2"/>
        <v>764879.9276830731</v>
      </c>
      <c r="M19" s="78"/>
    </row>
    <row r="20" spans="2:13" x14ac:dyDescent="0.25">
      <c r="B20" s="49">
        <v>15</v>
      </c>
      <c r="C20" s="49">
        <f t="shared" si="0"/>
        <v>22.5</v>
      </c>
      <c r="D20" s="51">
        <f>D19</f>
        <v>4762667</v>
      </c>
      <c r="E20" s="59">
        <f t="shared" si="1"/>
        <v>5717.4873949579833</v>
      </c>
      <c r="F20" s="59">
        <f t="shared" si="8"/>
        <v>283653.09123649454</v>
      </c>
      <c r="G20" s="74">
        <f t="shared" si="4"/>
        <v>283653.09123649454</v>
      </c>
      <c r="H20" s="54">
        <v>78156720</v>
      </c>
      <c r="I20" s="59">
        <f t="shared" si="5"/>
        <v>223304.91428571427</v>
      </c>
      <c r="J20" s="77">
        <f t="shared" si="2"/>
        <v>790611.09675870335</v>
      </c>
      <c r="M20" s="78"/>
    </row>
    <row r="21" spans="2:13" x14ac:dyDescent="0.25">
      <c r="B21" s="49">
        <v>16</v>
      </c>
      <c r="C21" s="49">
        <f t="shared" si="0"/>
        <v>24</v>
      </c>
      <c r="D21" s="51">
        <f>D20</f>
        <v>4762667</v>
      </c>
      <c r="E21" s="59">
        <f t="shared" si="1"/>
        <v>5717.4873949579833</v>
      </c>
      <c r="F21" s="59">
        <f t="shared" si="8"/>
        <v>289370.57863145252</v>
      </c>
      <c r="G21" s="74">
        <f t="shared" si="4"/>
        <v>289370.57863145252</v>
      </c>
      <c r="H21" s="54">
        <v>83502640</v>
      </c>
      <c r="I21" s="59">
        <f t="shared" si="5"/>
        <v>238578.97142857141</v>
      </c>
      <c r="J21" s="77">
        <f t="shared" si="2"/>
        <v>817320.12869147642</v>
      </c>
      <c r="M21" s="78"/>
    </row>
    <row r="22" spans="2:13" x14ac:dyDescent="0.25">
      <c r="B22" s="49">
        <v>17</v>
      </c>
      <c r="C22" s="49">
        <f t="shared" si="0"/>
        <v>25.5</v>
      </c>
      <c r="D22" s="51">
        <f>D21</f>
        <v>4762667</v>
      </c>
      <c r="E22" s="59">
        <f t="shared" si="1"/>
        <v>5717.4873949579833</v>
      </c>
      <c r="F22" s="59">
        <f t="shared" si="8"/>
        <v>295088.0660264105</v>
      </c>
      <c r="G22" s="74">
        <f t="shared" si="4"/>
        <v>295088.0660264105</v>
      </c>
      <c r="H22" s="54">
        <v>89214221</v>
      </c>
      <c r="I22" s="59">
        <f t="shared" si="5"/>
        <v>254897.77428571429</v>
      </c>
      <c r="J22" s="77">
        <f t="shared" si="2"/>
        <v>845073.90633853525</v>
      </c>
      <c r="M22" s="78"/>
    </row>
    <row r="23" spans="2:13" x14ac:dyDescent="0.25">
      <c r="B23" s="49">
        <v>18</v>
      </c>
      <c r="C23" s="49">
        <f t="shared" si="0"/>
        <v>27</v>
      </c>
      <c r="D23" s="51">
        <f>D22</f>
        <v>4762667</v>
      </c>
      <c r="E23" s="59">
        <f t="shared" si="1"/>
        <v>5717.4873949579833</v>
      </c>
      <c r="F23" s="59">
        <f t="shared" si="8"/>
        <v>300805.55342136847</v>
      </c>
      <c r="G23" s="74">
        <f t="shared" si="4"/>
        <v>300805.55342136847</v>
      </c>
      <c r="H23" s="54">
        <v>95316473</v>
      </c>
      <c r="I23" s="59">
        <f t="shared" si="5"/>
        <v>272332.78000000003</v>
      </c>
      <c r="J23" s="77">
        <f t="shared" si="2"/>
        <v>873943.88684273697</v>
      </c>
      <c r="M23" s="78"/>
    </row>
    <row r="24" spans="2:13" x14ac:dyDescent="0.25">
      <c r="B24" s="49">
        <v>19</v>
      </c>
      <c r="C24" s="49">
        <f t="shared" si="0"/>
        <v>28.5</v>
      </c>
      <c r="D24" s="51">
        <f t="shared" ref="D24" si="9">D23</f>
        <v>4762667</v>
      </c>
      <c r="E24" s="59">
        <f t="shared" si="1"/>
        <v>5717.4873949579833</v>
      </c>
      <c r="F24" s="59">
        <f t="shared" si="8"/>
        <v>306523.04081632645</v>
      </c>
      <c r="G24" s="74">
        <f t="shared" si="4"/>
        <v>306523.04081632645</v>
      </c>
      <c r="H24" s="54">
        <v>101836120</v>
      </c>
      <c r="I24" s="59">
        <f t="shared" si="5"/>
        <v>290960.34285714285</v>
      </c>
      <c r="J24" s="77">
        <f t="shared" si="2"/>
        <v>904006.4244897957</v>
      </c>
      <c r="M24" s="78"/>
    </row>
    <row r="25" spans="2:13" x14ac:dyDescent="0.25">
      <c r="B25" s="49">
        <v>20</v>
      </c>
      <c r="C25" s="49">
        <f t="shared" si="0"/>
        <v>30</v>
      </c>
      <c r="D25" s="51">
        <f t="shared" ref="D25:D35" si="10">D24</f>
        <v>4762667</v>
      </c>
      <c r="E25" s="59">
        <f t="shared" si="1"/>
        <v>5717.4873949579833</v>
      </c>
      <c r="F25" s="59">
        <f t="shared" si="8"/>
        <v>312240.52821128443</v>
      </c>
      <c r="G25" s="74">
        <f t="shared" si="4"/>
        <v>312240.52821128443</v>
      </c>
      <c r="H25" s="54">
        <v>108801711</v>
      </c>
      <c r="I25" s="59">
        <f t="shared" si="5"/>
        <v>310862.03142857144</v>
      </c>
      <c r="J25" s="77">
        <f t="shared" si="2"/>
        <v>935343.0878511403</v>
      </c>
      <c r="M25" s="78"/>
    </row>
    <row r="26" spans="2:13" x14ac:dyDescent="0.25">
      <c r="B26" s="49">
        <v>21</v>
      </c>
      <c r="C26" s="49">
        <f t="shared" si="0"/>
        <v>31.5</v>
      </c>
      <c r="D26" s="51">
        <f t="shared" si="10"/>
        <v>4762667</v>
      </c>
      <c r="E26" s="59">
        <f t="shared" si="1"/>
        <v>5717.4873949579833</v>
      </c>
      <c r="F26" s="59">
        <f t="shared" si="8"/>
        <v>317958.01560624241</v>
      </c>
      <c r="G26" s="74">
        <f t="shared" si="4"/>
        <v>317958.01560624241</v>
      </c>
      <c r="H26" s="54">
        <v>116234748</v>
      </c>
      <c r="I26" s="59">
        <f t="shared" si="5"/>
        <v>332099.28000000003</v>
      </c>
      <c r="J26" s="77">
        <f t="shared" si="2"/>
        <v>968015.31121248484</v>
      </c>
      <c r="M26" s="78"/>
    </row>
    <row r="27" spans="2:13" x14ac:dyDescent="0.25">
      <c r="B27" s="49">
        <v>22</v>
      </c>
      <c r="C27" s="49">
        <f t="shared" si="0"/>
        <v>33</v>
      </c>
      <c r="D27" s="51">
        <f t="shared" si="10"/>
        <v>4762667</v>
      </c>
      <c r="E27" s="59">
        <f t="shared" si="1"/>
        <v>5717.4873949579833</v>
      </c>
      <c r="F27" s="59">
        <f t="shared" si="8"/>
        <v>323675.50300120038</v>
      </c>
      <c r="G27" s="74">
        <f t="shared" si="4"/>
        <v>323675.50300120038</v>
      </c>
      <c r="H27" s="54">
        <v>124194820</v>
      </c>
      <c r="I27" s="59">
        <f t="shared" si="5"/>
        <v>354842.34285714285</v>
      </c>
      <c r="J27" s="77">
        <f t="shared" si="2"/>
        <v>1002193.3488595437</v>
      </c>
      <c r="M27" s="78"/>
    </row>
    <row r="28" spans="2:13" x14ac:dyDescent="0.25">
      <c r="B28" s="49">
        <v>23</v>
      </c>
      <c r="C28" s="49">
        <f t="shared" si="0"/>
        <v>34.5</v>
      </c>
      <c r="D28" s="51">
        <f t="shared" si="10"/>
        <v>4762667</v>
      </c>
      <c r="E28" s="59">
        <f t="shared" si="1"/>
        <v>5717.4873949579833</v>
      </c>
      <c r="F28" s="59">
        <f t="shared" si="8"/>
        <v>329392.99039615836</v>
      </c>
      <c r="G28" s="74">
        <f t="shared" si="4"/>
        <v>329392.99039615836</v>
      </c>
      <c r="H28" s="54">
        <v>132689746</v>
      </c>
      <c r="I28" s="59">
        <f t="shared" si="5"/>
        <v>379113.56</v>
      </c>
      <c r="J28" s="77">
        <f t="shared" si="2"/>
        <v>1037899.5407923167</v>
      </c>
      <c r="M28" s="78"/>
    </row>
    <row r="29" spans="2:13" x14ac:dyDescent="0.25">
      <c r="B29" s="49">
        <v>24</v>
      </c>
      <c r="C29" s="49">
        <f t="shared" si="0"/>
        <v>36</v>
      </c>
      <c r="D29" s="51">
        <f t="shared" si="10"/>
        <v>4762667</v>
      </c>
      <c r="E29" s="59">
        <f t="shared" si="1"/>
        <v>5717.4873949579833</v>
      </c>
      <c r="F29" s="59">
        <f t="shared" si="8"/>
        <v>335110.47779111634</v>
      </c>
      <c r="G29" s="74">
        <f t="shared" si="4"/>
        <v>335110.47779111634</v>
      </c>
      <c r="H29" s="54">
        <v>141765724</v>
      </c>
      <c r="I29" s="59">
        <f t="shared" si="5"/>
        <v>405044.92571428569</v>
      </c>
      <c r="J29" s="77">
        <f t="shared" si="2"/>
        <v>1075265.8812965183</v>
      </c>
      <c r="M29" s="78"/>
    </row>
    <row r="30" spans="2:13" x14ac:dyDescent="0.25">
      <c r="B30" s="49">
        <v>25</v>
      </c>
      <c r="C30" s="49">
        <f t="shared" si="0"/>
        <v>37.5</v>
      </c>
      <c r="D30" s="51">
        <f t="shared" si="10"/>
        <v>4762667</v>
      </c>
      <c r="E30" s="59">
        <f t="shared" si="1"/>
        <v>5717.4873949579833</v>
      </c>
      <c r="F30" s="59">
        <f t="shared" si="8"/>
        <v>340827.96518607432</v>
      </c>
      <c r="G30" s="74">
        <f t="shared" si="4"/>
        <v>340827.96518607432</v>
      </c>
      <c r="H30" s="54">
        <v>151462500</v>
      </c>
      <c r="I30" s="59">
        <f t="shared" si="5"/>
        <v>432750</v>
      </c>
      <c r="J30" s="77">
        <f t="shared" si="2"/>
        <v>1114405.9303721488</v>
      </c>
      <c r="M30" s="78"/>
    </row>
    <row r="31" spans="2:13" x14ac:dyDescent="0.25">
      <c r="B31" s="49">
        <v>26</v>
      </c>
      <c r="C31" s="49">
        <f t="shared" si="0"/>
        <v>39</v>
      </c>
      <c r="D31" s="51">
        <f t="shared" si="10"/>
        <v>4762667</v>
      </c>
      <c r="E31" s="59">
        <f t="shared" si="1"/>
        <v>5717.4873949579833</v>
      </c>
      <c r="F31" s="59">
        <f t="shared" si="8"/>
        <v>346545.4525810323</v>
      </c>
      <c r="G31" s="74">
        <f t="shared" si="4"/>
        <v>346545.4525810323</v>
      </c>
      <c r="H31" s="54">
        <v>161822535</v>
      </c>
      <c r="I31" s="59">
        <f t="shared" si="5"/>
        <v>462350.1</v>
      </c>
      <c r="J31" s="77">
        <f t="shared" si="2"/>
        <v>1155441.0051620645</v>
      </c>
      <c r="M31" s="78"/>
    </row>
    <row r="32" spans="2:13" x14ac:dyDescent="0.25">
      <c r="B32" s="49">
        <v>27</v>
      </c>
      <c r="C32" s="49">
        <f t="shared" si="0"/>
        <v>40.5</v>
      </c>
      <c r="D32" s="51">
        <f t="shared" si="10"/>
        <v>4762667</v>
      </c>
      <c r="E32" s="59">
        <f t="shared" si="1"/>
        <v>5717.4873949579833</v>
      </c>
      <c r="F32" s="59">
        <f t="shared" si="8"/>
        <v>352262.93997599027</v>
      </c>
      <c r="G32" s="74">
        <f t="shared" si="4"/>
        <v>352262.93997599027</v>
      </c>
      <c r="H32" s="54">
        <v>172891196</v>
      </c>
      <c r="I32" s="59">
        <f t="shared" si="5"/>
        <v>493974.84571428574</v>
      </c>
      <c r="J32" s="77">
        <f t="shared" si="2"/>
        <v>1198500.7256662664</v>
      </c>
      <c r="M32" s="78"/>
    </row>
    <row r="33" spans="2:13" x14ac:dyDescent="0.25">
      <c r="B33" s="49">
        <v>28</v>
      </c>
      <c r="C33" s="49">
        <f t="shared" si="0"/>
        <v>42</v>
      </c>
      <c r="D33" s="51">
        <f t="shared" si="10"/>
        <v>4762667</v>
      </c>
      <c r="E33" s="59">
        <f t="shared" si="1"/>
        <v>5717.4873949579833</v>
      </c>
      <c r="F33" s="59">
        <f t="shared" si="8"/>
        <v>357980.42737094825</v>
      </c>
      <c r="G33" s="74">
        <f t="shared" si="4"/>
        <v>357980.42737094825</v>
      </c>
      <c r="H33" s="54">
        <v>184716954</v>
      </c>
      <c r="I33" s="59">
        <f t="shared" si="5"/>
        <v>527762.72571428574</v>
      </c>
      <c r="J33" s="77">
        <f t="shared" si="2"/>
        <v>1243723.5804561824</v>
      </c>
      <c r="M33" s="78"/>
    </row>
    <row r="34" spans="2:13" x14ac:dyDescent="0.25">
      <c r="B34" s="49">
        <v>29</v>
      </c>
      <c r="C34" s="49">
        <f t="shared" si="0"/>
        <v>43.5</v>
      </c>
      <c r="D34" s="51">
        <f t="shared" si="10"/>
        <v>4762667</v>
      </c>
      <c r="E34" s="59">
        <f t="shared" si="1"/>
        <v>5717.4873949579833</v>
      </c>
      <c r="F34" s="59">
        <f t="shared" si="8"/>
        <v>363697.91476590623</v>
      </c>
      <c r="G34" s="74">
        <f t="shared" si="4"/>
        <v>363697.91476590623</v>
      </c>
      <c r="H34" s="54">
        <v>197351594</v>
      </c>
      <c r="I34" s="59">
        <f t="shared" si="5"/>
        <v>563861.69714285713</v>
      </c>
      <c r="J34" s="77">
        <f t="shared" si="2"/>
        <v>1291257.5266746697</v>
      </c>
      <c r="M34" s="78"/>
    </row>
    <row r="35" spans="2:13" x14ac:dyDescent="0.25">
      <c r="B35" s="49">
        <v>30</v>
      </c>
      <c r="C35" s="49">
        <f t="shared" si="0"/>
        <v>45</v>
      </c>
      <c r="D35" s="51">
        <f t="shared" si="10"/>
        <v>4762667</v>
      </c>
      <c r="E35" s="59">
        <f t="shared" si="1"/>
        <v>5717.4873949579833</v>
      </c>
      <c r="F35" s="59">
        <f t="shared" si="8"/>
        <v>369415.40216086421</v>
      </c>
      <c r="G35" s="74">
        <f t="shared" si="4"/>
        <v>369415.40216086421</v>
      </c>
      <c r="H35" s="54">
        <v>210850443</v>
      </c>
      <c r="I35" s="59">
        <f t="shared" si="5"/>
        <v>602429.83714285714</v>
      </c>
      <c r="J35" s="77">
        <f t="shared" si="2"/>
        <v>1341260.6414645854</v>
      </c>
      <c r="M35" s="78"/>
    </row>
  </sheetData>
  <mergeCells count="1">
    <mergeCell ref="B2:I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8"/>
  <sheetViews>
    <sheetView workbookViewId="0">
      <selection activeCell="J18" sqref="J17:J18"/>
    </sheetView>
  </sheetViews>
  <sheetFormatPr defaultRowHeight="15.75" x14ac:dyDescent="0.25"/>
  <cols>
    <col min="2" max="2" width="36.375" customWidth="1"/>
    <col min="3" max="3" width="16.125" customWidth="1"/>
    <col min="4" max="4" width="13.25" customWidth="1"/>
    <col min="5" max="5" width="11.5" customWidth="1"/>
  </cols>
  <sheetData>
    <row r="3" spans="2:5" ht="47.25" x14ac:dyDescent="0.25">
      <c r="B3" s="48" t="s">
        <v>162</v>
      </c>
      <c r="C3" s="52" t="s">
        <v>107</v>
      </c>
      <c r="D3" s="55" t="s">
        <v>126</v>
      </c>
      <c r="E3" s="48" t="s">
        <v>108</v>
      </c>
    </row>
    <row r="4" spans="2:5" ht="15.75" customHeight="1" x14ac:dyDescent="0.25">
      <c r="B4" s="104" t="s">
        <v>163</v>
      </c>
      <c r="C4" s="53" t="s">
        <v>123</v>
      </c>
      <c r="D4" s="54">
        <f>('Chi phí 1 cây'!J6+'Chi phí 1 cây'!J7)/2</f>
        <v>130283.01200480193</v>
      </c>
      <c r="E4" s="104" t="s">
        <v>149</v>
      </c>
    </row>
    <row r="5" spans="2:5" x14ac:dyDescent="0.25">
      <c r="B5" s="105"/>
      <c r="C5" s="56" t="s">
        <v>109</v>
      </c>
      <c r="D5" s="54">
        <f>('Chi phí 1 cây'!J7+'Chi phí 1 cây'!J8+'Chi phí 1 cây'!J9)/3</f>
        <v>171629.56662665069</v>
      </c>
      <c r="E5" s="105"/>
    </row>
    <row r="6" spans="2:5" x14ac:dyDescent="0.25">
      <c r="B6" s="105"/>
      <c r="C6" s="53" t="s">
        <v>110</v>
      </c>
      <c r="D6" s="54">
        <f>('Chi phí 1 cây'!J9+'Chi phí 1 cây'!J10+'Chi phí 1 cây'!J11)/3</f>
        <v>451580.04529811925</v>
      </c>
      <c r="E6" s="105"/>
    </row>
    <row r="7" spans="2:5" x14ac:dyDescent="0.25">
      <c r="B7" s="105"/>
      <c r="C7" s="53" t="s">
        <v>111</v>
      </c>
      <c r="D7" s="54">
        <f>('Chi phí 1 cây'!J11+'Chi phí 1 cây'!J12+'Chi phí 1 cây'!J13)/3</f>
        <v>607549.11177270894</v>
      </c>
      <c r="E7" s="105"/>
    </row>
    <row r="8" spans="2:5" x14ac:dyDescent="0.25">
      <c r="B8" s="105"/>
      <c r="C8" s="53" t="s">
        <v>112</v>
      </c>
      <c r="D8" s="54">
        <f>('Chi phí 1 cây'!J13+'Chi phí 1 cây'!J14+'Chi phí 1 cây'!J15)/3</f>
        <v>649055.00325730292</v>
      </c>
      <c r="E8" s="105"/>
    </row>
    <row r="9" spans="2:5" x14ac:dyDescent="0.25">
      <c r="B9" s="105"/>
      <c r="C9" s="53" t="s">
        <v>113</v>
      </c>
      <c r="D9" s="54">
        <f>('Chi phí 1 cây'!J15+'Chi phí 1 cây'!J16+'Chi phí 1 cây'!J17)/3</f>
        <v>693197.48140856333</v>
      </c>
      <c r="E9" s="105"/>
    </row>
    <row r="10" spans="2:5" x14ac:dyDescent="0.25">
      <c r="B10" s="105"/>
      <c r="C10" s="53" t="s">
        <v>148</v>
      </c>
      <c r="D10" s="54">
        <f>('Chi phí 1 cây'!J17+'Chi phí 1 cây'!J18+'Chi phí 1 cây'!J19)/3</f>
        <v>740349.56622649042</v>
      </c>
      <c r="E10" s="105"/>
    </row>
    <row r="11" spans="2:5" x14ac:dyDescent="0.25">
      <c r="B11" s="105"/>
      <c r="C11" s="57" t="s">
        <v>115</v>
      </c>
      <c r="D11" s="60">
        <f>('Chi phí 1 cây'!J19+'Chi phí 1 cây'!J20+'Chi phí 1 cây'!J21)/3</f>
        <v>790937.05104441755</v>
      </c>
      <c r="E11" s="105"/>
    </row>
    <row r="12" spans="2:5" x14ac:dyDescent="0.25">
      <c r="B12" s="105"/>
      <c r="C12" s="57" t="s">
        <v>116</v>
      </c>
      <c r="D12" s="60">
        <f>('Chi phí 1 cây'!J21+'Chi phí 1 cây'!J22+'Chi phí 1 cây'!J23)/3</f>
        <v>845445.97395758284</v>
      </c>
      <c r="E12" s="105"/>
    </row>
    <row r="13" spans="2:5" x14ac:dyDescent="0.25">
      <c r="B13" s="105"/>
      <c r="C13" s="57" t="s">
        <v>117</v>
      </c>
      <c r="D13" s="60">
        <f>('Chi phí 1 cây'!J23+'Chi phí 1 cây'!J24+'Chi phí 1 cây'!J25)/3</f>
        <v>904431.13306122425</v>
      </c>
      <c r="E13" s="105"/>
    </row>
    <row r="14" spans="2:5" x14ac:dyDescent="0.25">
      <c r="B14" s="105"/>
      <c r="C14" s="57" t="s">
        <v>118</v>
      </c>
      <c r="D14" s="60">
        <f>('Chi phí 1 cây'!J25+'Chi phí 1 cây'!J26+'Chi phí 1 cây'!J27)/3</f>
        <v>968517.2493077229</v>
      </c>
      <c r="E14" s="105"/>
    </row>
    <row r="15" spans="2:5" x14ac:dyDescent="0.25">
      <c r="B15" s="105"/>
      <c r="C15" s="57" t="s">
        <v>119</v>
      </c>
      <c r="D15" s="60">
        <f>('Chi phí 1 cây'!J27+'Chi phí 1 cây'!J28+'Chi phí 1 cây'!J29)/3</f>
        <v>1038452.9236494595</v>
      </c>
      <c r="E15" s="105"/>
    </row>
    <row r="16" spans="2:5" x14ac:dyDescent="0.25">
      <c r="B16" s="105"/>
      <c r="C16" s="57" t="s">
        <v>120</v>
      </c>
      <c r="D16" s="60">
        <f>('Chi phí 1 cây'!J29+'Chi phí 1 cây'!J30+'Chi phí 1 cây'!J31)/3</f>
        <v>1115037.6056102437</v>
      </c>
      <c r="E16" s="105"/>
    </row>
    <row r="17" spans="2:5" x14ac:dyDescent="0.25">
      <c r="B17" s="105"/>
      <c r="C17" s="57" t="s">
        <v>121</v>
      </c>
      <c r="D17" s="60">
        <f>('Chi phí 1 cây'!J31+'Chi phí 1 cây'!J32+'Chi phí 1 cây'!J33)/3</f>
        <v>1199221.7704281711</v>
      </c>
      <c r="E17" s="105"/>
    </row>
    <row r="18" spans="2:5" x14ac:dyDescent="0.25">
      <c r="B18" s="106"/>
      <c r="C18" s="57" t="s">
        <v>122</v>
      </c>
      <c r="D18" s="60">
        <f>('Chi phí 1 cây'!J33+'Chi phí 1 cây'!J34+'Chi phí 1 cây'!J35)/3</f>
        <v>1292080.5828651458</v>
      </c>
      <c r="E18" s="106"/>
    </row>
  </sheetData>
  <mergeCells count="2">
    <mergeCell ref="B4:B18"/>
    <mergeCell ref="E4:E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17"/>
  <sheetViews>
    <sheetView tabSelected="1" topLeftCell="A97" workbookViewId="0">
      <selection activeCell="N117" sqref="N117"/>
    </sheetView>
  </sheetViews>
  <sheetFormatPr defaultRowHeight="15.75" x14ac:dyDescent="0.25"/>
  <cols>
    <col min="1" max="1" width="5.25" style="84" customWidth="1"/>
    <col min="2" max="2" width="38.125" customWidth="1"/>
    <col min="3" max="3" width="17.875" customWidth="1"/>
    <col min="4" max="4" width="14.5" customWidth="1"/>
  </cols>
  <sheetData>
    <row r="3" spans="1:4" s="47" customFormat="1" ht="47.25" x14ac:dyDescent="0.25">
      <c r="A3" s="48" t="s">
        <v>158</v>
      </c>
      <c r="B3" s="48" t="s">
        <v>161</v>
      </c>
      <c r="C3" s="85" t="s">
        <v>172</v>
      </c>
      <c r="D3" s="85" t="s">
        <v>126</v>
      </c>
    </row>
    <row r="4" spans="1:4" ht="15.75" customHeight="1" x14ac:dyDescent="0.25">
      <c r="A4" s="107">
        <v>1</v>
      </c>
      <c r="B4" s="110" t="s">
        <v>152</v>
      </c>
      <c r="C4" s="53" t="s">
        <v>123</v>
      </c>
      <c r="D4" s="54">
        <f>'ĐƠN GIÁ BT THEO ĐK'!D4</f>
        <v>130283.01200480193</v>
      </c>
    </row>
    <row r="5" spans="1:4" x14ac:dyDescent="0.25">
      <c r="A5" s="108"/>
      <c r="B5" s="110"/>
      <c r="C5" s="56" t="s">
        <v>109</v>
      </c>
      <c r="D5" s="54">
        <f>'ĐƠN GIÁ BT THEO ĐK'!D5</f>
        <v>171629.56662665069</v>
      </c>
    </row>
    <row r="6" spans="1:4" x14ac:dyDescent="0.25">
      <c r="A6" s="108"/>
      <c r="B6" s="110"/>
      <c r="C6" s="53" t="s">
        <v>110</v>
      </c>
      <c r="D6" s="54">
        <f>'ĐƠN GIÁ BT THEO ĐK'!D6</f>
        <v>451580.04529811925</v>
      </c>
    </row>
    <row r="7" spans="1:4" x14ac:dyDescent="0.25">
      <c r="A7" s="108"/>
      <c r="B7" s="110"/>
      <c r="C7" s="53" t="s">
        <v>111</v>
      </c>
      <c r="D7" s="54">
        <f>'ĐƠN GIÁ BT THEO ĐK'!D7</f>
        <v>607549.11177270894</v>
      </c>
    </row>
    <row r="8" spans="1:4" x14ac:dyDescent="0.25">
      <c r="A8" s="108"/>
      <c r="B8" s="110"/>
      <c r="C8" s="53" t="s">
        <v>112</v>
      </c>
      <c r="D8" s="54">
        <f>'ĐƠN GIÁ BT THEO ĐK'!D8</f>
        <v>649055.00325730292</v>
      </c>
    </row>
    <row r="9" spans="1:4" x14ac:dyDescent="0.25">
      <c r="A9" s="108"/>
      <c r="B9" s="110"/>
      <c r="C9" s="53" t="s">
        <v>113</v>
      </c>
      <c r="D9" s="54">
        <f>'ĐƠN GIÁ BT THEO ĐK'!D9</f>
        <v>693197.48140856333</v>
      </c>
    </row>
    <row r="10" spans="1:4" x14ac:dyDescent="0.25">
      <c r="A10" s="108"/>
      <c r="B10" s="110"/>
      <c r="C10" s="53" t="s">
        <v>148</v>
      </c>
      <c r="D10" s="54">
        <f>'ĐƠN GIÁ BT THEO ĐK'!D10</f>
        <v>740349.56622649042</v>
      </c>
    </row>
    <row r="11" spans="1:4" x14ac:dyDescent="0.25">
      <c r="A11" s="108"/>
      <c r="B11" s="110"/>
      <c r="C11" s="57" t="s">
        <v>115</v>
      </c>
      <c r="D11" s="54">
        <f>'ĐƠN GIÁ BT THEO ĐK'!D11</f>
        <v>790937.05104441755</v>
      </c>
    </row>
    <row r="12" spans="1:4" x14ac:dyDescent="0.25">
      <c r="A12" s="108"/>
      <c r="B12" s="110"/>
      <c r="C12" s="57" t="s">
        <v>116</v>
      </c>
      <c r="D12" s="54">
        <f>'ĐƠN GIÁ BT THEO ĐK'!D12</f>
        <v>845445.97395758284</v>
      </c>
    </row>
    <row r="13" spans="1:4" x14ac:dyDescent="0.25">
      <c r="A13" s="108"/>
      <c r="B13" s="110"/>
      <c r="C13" s="57" t="s">
        <v>117</v>
      </c>
      <c r="D13" s="54">
        <f>'ĐƠN GIÁ BT THEO ĐK'!D13</f>
        <v>904431.13306122425</v>
      </c>
    </row>
    <row r="14" spans="1:4" x14ac:dyDescent="0.25">
      <c r="A14" s="108"/>
      <c r="B14" s="110"/>
      <c r="C14" s="57" t="s">
        <v>118</v>
      </c>
      <c r="D14" s="54">
        <f>'ĐƠN GIÁ BT THEO ĐK'!D14</f>
        <v>968517.2493077229</v>
      </c>
    </row>
    <row r="15" spans="1:4" x14ac:dyDescent="0.25">
      <c r="A15" s="108"/>
      <c r="B15" s="110"/>
      <c r="C15" s="57" t="s">
        <v>119</v>
      </c>
      <c r="D15" s="54">
        <f>'ĐƠN GIÁ BT THEO ĐK'!D15</f>
        <v>1038452.9236494595</v>
      </c>
    </row>
    <row r="16" spans="1:4" x14ac:dyDescent="0.25">
      <c r="A16" s="108"/>
      <c r="B16" s="110"/>
      <c r="C16" s="57" t="s">
        <v>120</v>
      </c>
      <c r="D16" s="54">
        <f>'ĐƠN GIÁ BT THEO ĐK'!D16</f>
        <v>1115037.6056102437</v>
      </c>
    </row>
    <row r="17" spans="1:4" x14ac:dyDescent="0.25">
      <c r="A17" s="108"/>
      <c r="B17" s="110"/>
      <c r="C17" s="57" t="s">
        <v>121</v>
      </c>
      <c r="D17" s="54">
        <f>'ĐƠN GIÁ BT THEO ĐK'!D17</f>
        <v>1199221.7704281711</v>
      </c>
    </row>
    <row r="18" spans="1:4" x14ac:dyDescent="0.25">
      <c r="A18" s="109"/>
      <c r="B18" s="110"/>
      <c r="C18" s="57" t="s">
        <v>122</v>
      </c>
      <c r="D18" s="54">
        <f>'ĐƠN GIÁ BT THEO ĐK'!D18</f>
        <v>1292080.5828651458</v>
      </c>
    </row>
    <row r="19" spans="1:4" ht="47.25" x14ac:dyDescent="0.25">
      <c r="A19" s="89"/>
      <c r="B19" s="48" t="s">
        <v>161</v>
      </c>
      <c r="C19" s="85" t="s">
        <v>172</v>
      </c>
      <c r="D19" s="85" t="s">
        <v>126</v>
      </c>
    </row>
    <row r="20" spans="1:4" ht="15.75" customHeight="1" x14ac:dyDescent="0.25">
      <c r="A20" s="107">
        <v>2</v>
      </c>
      <c r="B20" s="110" t="s">
        <v>153</v>
      </c>
      <c r="C20" s="53" t="s">
        <v>123</v>
      </c>
      <c r="D20" s="54">
        <f>D4*90%</f>
        <v>117254.71080432174</v>
      </c>
    </row>
    <row r="21" spans="1:4" x14ac:dyDescent="0.25">
      <c r="A21" s="108"/>
      <c r="B21" s="110"/>
      <c r="C21" s="56" t="s">
        <v>109</v>
      </c>
      <c r="D21" s="54">
        <f t="shared" ref="D21:D34" si="0">D5*90%</f>
        <v>154466.60996398563</v>
      </c>
    </row>
    <row r="22" spans="1:4" x14ac:dyDescent="0.25">
      <c r="A22" s="108"/>
      <c r="B22" s="110"/>
      <c r="C22" s="53" t="s">
        <v>110</v>
      </c>
      <c r="D22" s="54">
        <f t="shared" si="0"/>
        <v>406422.04076830734</v>
      </c>
    </row>
    <row r="23" spans="1:4" x14ac:dyDescent="0.25">
      <c r="A23" s="108"/>
      <c r="B23" s="110"/>
      <c r="C23" s="53" t="s">
        <v>111</v>
      </c>
      <c r="D23" s="54">
        <f t="shared" si="0"/>
        <v>546794.20059543801</v>
      </c>
    </row>
    <row r="24" spans="1:4" x14ac:dyDescent="0.25">
      <c r="A24" s="108"/>
      <c r="B24" s="110"/>
      <c r="C24" s="53" t="s">
        <v>112</v>
      </c>
      <c r="D24" s="54">
        <f t="shared" si="0"/>
        <v>584149.50293157261</v>
      </c>
    </row>
    <row r="25" spans="1:4" x14ac:dyDescent="0.25">
      <c r="A25" s="108"/>
      <c r="B25" s="110"/>
      <c r="C25" s="53" t="s">
        <v>113</v>
      </c>
      <c r="D25" s="54">
        <f t="shared" si="0"/>
        <v>623877.73326770705</v>
      </c>
    </row>
    <row r="26" spans="1:4" x14ac:dyDescent="0.25">
      <c r="A26" s="108"/>
      <c r="B26" s="110"/>
      <c r="C26" s="53" t="s">
        <v>148</v>
      </c>
      <c r="D26" s="54">
        <f t="shared" si="0"/>
        <v>666314.60960384144</v>
      </c>
    </row>
    <row r="27" spans="1:4" x14ac:dyDescent="0.25">
      <c r="A27" s="108"/>
      <c r="B27" s="110"/>
      <c r="C27" s="57" t="s">
        <v>115</v>
      </c>
      <c r="D27" s="54">
        <f t="shared" si="0"/>
        <v>711843.34593997581</v>
      </c>
    </row>
    <row r="28" spans="1:4" x14ac:dyDescent="0.25">
      <c r="A28" s="108"/>
      <c r="B28" s="110"/>
      <c r="C28" s="57" t="s">
        <v>116</v>
      </c>
      <c r="D28" s="54">
        <f t="shared" si="0"/>
        <v>760901.37656182458</v>
      </c>
    </row>
    <row r="29" spans="1:4" x14ac:dyDescent="0.25">
      <c r="A29" s="108"/>
      <c r="B29" s="110"/>
      <c r="C29" s="57" t="s">
        <v>117</v>
      </c>
      <c r="D29" s="54">
        <f t="shared" si="0"/>
        <v>813988.01975510188</v>
      </c>
    </row>
    <row r="30" spans="1:4" x14ac:dyDescent="0.25">
      <c r="A30" s="108"/>
      <c r="B30" s="110"/>
      <c r="C30" s="57" t="s">
        <v>118</v>
      </c>
      <c r="D30" s="54">
        <f t="shared" si="0"/>
        <v>871665.52437695058</v>
      </c>
    </row>
    <row r="31" spans="1:4" x14ac:dyDescent="0.25">
      <c r="A31" s="108"/>
      <c r="B31" s="110"/>
      <c r="C31" s="57" t="s">
        <v>119</v>
      </c>
      <c r="D31" s="54">
        <f t="shared" si="0"/>
        <v>934607.63128451351</v>
      </c>
    </row>
    <row r="32" spans="1:4" x14ac:dyDescent="0.25">
      <c r="A32" s="108"/>
      <c r="B32" s="110"/>
      <c r="C32" s="57" t="s">
        <v>120</v>
      </c>
      <c r="D32" s="54">
        <f t="shared" si="0"/>
        <v>1003533.8450492194</v>
      </c>
    </row>
    <row r="33" spans="1:4" x14ac:dyDescent="0.25">
      <c r="A33" s="108"/>
      <c r="B33" s="110"/>
      <c r="C33" s="57" t="s">
        <v>121</v>
      </c>
      <c r="D33" s="54">
        <f t="shared" si="0"/>
        <v>1079299.5933853542</v>
      </c>
    </row>
    <row r="34" spans="1:4" x14ac:dyDescent="0.25">
      <c r="A34" s="109"/>
      <c r="B34" s="110"/>
      <c r="C34" s="57" t="s">
        <v>122</v>
      </c>
      <c r="D34" s="54">
        <f t="shared" si="0"/>
        <v>1162872.5245786312</v>
      </c>
    </row>
    <row r="35" spans="1:4" ht="47.25" x14ac:dyDescent="0.25">
      <c r="A35" s="89"/>
      <c r="B35" s="48" t="s">
        <v>161</v>
      </c>
      <c r="C35" s="85" t="s">
        <v>172</v>
      </c>
      <c r="D35" s="85" t="s">
        <v>126</v>
      </c>
    </row>
    <row r="36" spans="1:4" ht="15.75" customHeight="1" x14ac:dyDescent="0.25">
      <c r="A36" s="107">
        <v>3</v>
      </c>
      <c r="B36" s="110" t="s">
        <v>154</v>
      </c>
      <c r="C36" s="53" t="s">
        <v>123</v>
      </c>
      <c r="D36" s="54">
        <f>D4*80%</f>
        <v>104226.40960384154</v>
      </c>
    </row>
    <row r="37" spans="1:4" x14ac:dyDescent="0.25">
      <c r="A37" s="108"/>
      <c r="B37" s="110"/>
      <c r="C37" s="56" t="s">
        <v>109</v>
      </c>
      <c r="D37" s="54">
        <f t="shared" ref="D37:D50" si="1">D5*80%</f>
        <v>137303.65330132056</v>
      </c>
    </row>
    <row r="38" spans="1:4" x14ac:dyDescent="0.25">
      <c r="A38" s="108"/>
      <c r="B38" s="110"/>
      <c r="C38" s="53" t="s">
        <v>110</v>
      </c>
      <c r="D38" s="54">
        <f t="shared" si="1"/>
        <v>361264.03623849544</v>
      </c>
    </row>
    <row r="39" spans="1:4" x14ac:dyDescent="0.25">
      <c r="A39" s="108"/>
      <c r="B39" s="110"/>
      <c r="C39" s="53" t="s">
        <v>111</v>
      </c>
      <c r="D39" s="54">
        <f t="shared" si="1"/>
        <v>486039.2894181672</v>
      </c>
    </row>
    <row r="40" spans="1:4" x14ac:dyDescent="0.25">
      <c r="A40" s="108"/>
      <c r="B40" s="110"/>
      <c r="C40" s="53" t="s">
        <v>112</v>
      </c>
      <c r="D40" s="54">
        <f t="shared" si="1"/>
        <v>519244.00260584237</v>
      </c>
    </row>
    <row r="41" spans="1:4" x14ac:dyDescent="0.25">
      <c r="A41" s="108"/>
      <c r="B41" s="110"/>
      <c r="C41" s="53" t="s">
        <v>113</v>
      </c>
      <c r="D41" s="54">
        <f t="shared" si="1"/>
        <v>554557.98512685066</v>
      </c>
    </row>
    <row r="42" spans="1:4" x14ac:dyDescent="0.25">
      <c r="A42" s="108"/>
      <c r="B42" s="110"/>
      <c r="C42" s="53" t="s">
        <v>148</v>
      </c>
      <c r="D42" s="54">
        <f t="shared" si="1"/>
        <v>592279.65298119234</v>
      </c>
    </row>
    <row r="43" spans="1:4" x14ac:dyDescent="0.25">
      <c r="A43" s="108"/>
      <c r="B43" s="110"/>
      <c r="C43" s="57" t="s">
        <v>115</v>
      </c>
      <c r="D43" s="54">
        <f t="shared" si="1"/>
        <v>632749.64083553408</v>
      </c>
    </row>
    <row r="44" spans="1:4" x14ac:dyDescent="0.25">
      <c r="A44" s="108"/>
      <c r="B44" s="110"/>
      <c r="C44" s="57" t="s">
        <v>116</v>
      </c>
      <c r="D44" s="54">
        <f t="shared" si="1"/>
        <v>676356.77916606632</v>
      </c>
    </row>
    <row r="45" spans="1:4" x14ac:dyDescent="0.25">
      <c r="A45" s="108"/>
      <c r="B45" s="110"/>
      <c r="C45" s="57" t="s">
        <v>117</v>
      </c>
      <c r="D45" s="54">
        <f t="shared" si="1"/>
        <v>723544.9064489794</v>
      </c>
    </row>
    <row r="46" spans="1:4" x14ac:dyDescent="0.25">
      <c r="A46" s="108"/>
      <c r="B46" s="110"/>
      <c r="C46" s="57" t="s">
        <v>118</v>
      </c>
      <c r="D46" s="54">
        <f t="shared" si="1"/>
        <v>774813.79944617837</v>
      </c>
    </row>
    <row r="47" spans="1:4" x14ac:dyDescent="0.25">
      <c r="A47" s="108"/>
      <c r="B47" s="110"/>
      <c r="C47" s="57" t="s">
        <v>119</v>
      </c>
      <c r="D47" s="54">
        <f t="shared" si="1"/>
        <v>830762.33891956764</v>
      </c>
    </row>
    <row r="48" spans="1:4" x14ac:dyDescent="0.25">
      <c r="A48" s="108"/>
      <c r="B48" s="110"/>
      <c r="C48" s="57" t="s">
        <v>120</v>
      </c>
      <c r="D48" s="54">
        <f t="shared" si="1"/>
        <v>892030.08448819502</v>
      </c>
    </row>
    <row r="49" spans="1:4" x14ac:dyDescent="0.25">
      <c r="A49" s="108"/>
      <c r="B49" s="110"/>
      <c r="C49" s="57" t="s">
        <v>121</v>
      </c>
      <c r="D49" s="54">
        <f t="shared" si="1"/>
        <v>959377.41634253692</v>
      </c>
    </row>
    <row r="50" spans="1:4" x14ac:dyDescent="0.25">
      <c r="A50" s="109"/>
      <c r="B50" s="110"/>
      <c r="C50" s="57" t="s">
        <v>122</v>
      </c>
      <c r="D50" s="54">
        <f t="shared" si="1"/>
        <v>1033664.4662921167</v>
      </c>
    </row>
    <row r="51" spans="1:4" ht="47.25" x14ac:dyDescent="0.25">
      <c r="A51" s="89"/>
      <c r="B51" s="48" t="s">
        <v>161</v>
      </c>
      <c r="C51" s="85" t="s">
        <v>172</v>
      </c>
      <c r="D51" s="85" t="s">
        <v>126</v>
      </c>
    </row>
    <row r="52" spans="1:4" ht="15.75" customHeight="1" x14ac:dyDescent="0.25">
      <c r="A52" s="107">
        <v>4</v>
      </c>
      <c r="B52" s="110" t="s">
        <v>155</v>
      </c>
      <c r="C52" s="53" t="s">
        <v>123</v>
      </c>
      <c r="D52" s="54">
        <f>D4*70%</f>
        <v>91198.108403361344</v>
      </c>
    </row>
    <row r="53" spans="1:4" x14ac:dyDescent="0.25">
      <c r="A53" s="108"/>
      <c r="B53" s="110"/>
      <c r="C53" s="56" t="s">
        <v>109</v>
      </c>
      <c r="D53" s="54">
        <f t="shared" ref="D53:D66" si="2">D5*70%</f>
        <v>120140.69663865547</v>
      </c>
    </row>
    <row r="54" spans="1:4" x14ac:dyDescent="0.25">
      <c r="A54" s="108"/>
      <c r="B54" s="110"/>
      <c r="C54" s="53" t="s">
        <v>110</v>
      </c>
      <c r="D54" s="54">
        <f t="shared" si="2"/>
        <v>316106.03170868347</v>
      </c>
    </row>
    <row r="55" spans="1:4" x14ac:dyDescent="0.25">
      <c r="A55" s="108"/>
      <c r="B55" s="110"/>
      <c r="C55" s="53" t="s">
        <v>111</v>
      </c>
      <c r="D55" s="54">
        <f t="shared" si="2"/>
        <v>425284.37824089621</v>
      </c>
    </row>
    <row r="56" spans="1:4" x14ac:dyDescent="0.25">
      <c r="A56" s="108"/>
      <c r="B56" s="110"/>
      <c r="C56" s="53" t="s">
        <v>112</v>
      </c>
      <c r="D56" s="54">
        <f t="shared" si="2"/>
        <v>454338.50228011201</v>
      </c>
    </row>
    <row r="57" spans="1:4" x14ac:dyDescent="0.25">
      <c r="A57" s="108"/>
      <c r="B57" s="110"/>
      <c r="C57" s="53" t="s">
        <v>113</v>
      </c>
      <c r="D57" s="54">
        <f t="shared" si="2"/>
        <v>485238.23698599427</v>
      </c>
    </row>
    <row r="58" spans="1:4" x14ac:dyDescent="0.25">
      <c r="A58" s="108"/>
      <c r="B58" s="110"/>
      <c r="C58" s="53" t="s">
        <v>148</v>
      </c>
      <c r="D58" s="54">
        <f t="shared" si="2"/>
        <v>518244.69635854324</v>
      </c>
    </row>
    <row r="59" spans="1:4" x14ac:dyDescent="0.25">
      <c r="A59" s="108"/>
      <c r="B59" s="110"/>
      <c r="C59" s="57" t="s">
        <v>115</v>
      </c>
      <c r="D59" s="54">
        <f t="shared" si="2"/>
        <v>553655.93573109224</v>
      </c>
    </row>
    <row r="60" spans="1:4" x14ac:dyDescent="0.25">
      <c r="A60" s="108"/>
      <c r="B60" s="110"/>
      <c r="C60" s="57" t="s">
        <v>116</v>
      </c>
      <c r="D60" s="54">
        <f t="shared" si="2"/>
        <v>591812.18177030794</v>
      </c>
    </row>
    <row r="61" spans="1:4" x14ac:dyDescent="0.25">
      <c r="A61" s="108"/>
      <c r="B61" s="110"/>
      <c r="C61" s="57" t="s">
        <v>117</v>
      </c>
      <c r="D61" s="54">
        <f t="shared" si="2"/>
        <v>633101.79314285691</v>
      </c>
    </row>
    <row r="62" spans="1:4" x14ac:dyDescent="0.25">
      <c r="A62" s="108"/>
      <c r="B62" s="110"/>
      <c r="C62" s="57" t="s">
        <v>118</v>
      </c>
      <c r="D62" s="54">
        <f t="shared" si="2"/>
        <v>677962.07451540604</v>
      </c>
    </row>
    <row r="63" spans="1:4" x14ac:dyDescent="0.25">
      <c r="A63" s="108"/>
      <c r="B63" s="110"/>
      <c r="C63" s="57" t="s">
        <v>119</v>
      </c>
      <c r="D63" s="54">
        <f t="shared" si="2"/>
        <v>726917.04655462166</v>
      </c>
    </row>
    <row r="64" spans="1:4" x14ac:dyDescent="0.25">
      <c r="A64" s="108"/>
      <c r="B64" s="110"/>
      <c r="C64" s="57" t="s">
        <v>120</v>
      </c>
      <c r="D64" s="54">
        <f t="shared" si="2"/>
        <v>780526.3239271706</v>
      </c>
    </row>
    <row r="65" spans="1:4" x14ac:dyDescent="0.25">
      <c r="A65" s="108"/>
      <c r="B65" s="110"/>
      <c r="C65" s="57" t="s">
        <v>121</v>
      </c>
      <c r="D65" s="54">
        <f t="shared" si="2"/>
        <v>839455.2392997198</v>
      </c>
    </row>
    <row r="66" spans="1:4" x14ac:dyDescent="0.25">
      <c r="A66" s="109"/>
      <c r="B66" s="110"/>
      <c r="C66" s="57" t="s">
        <v>122</v>
      </c>
      <c r="D66" s="54">
        <f t="shared" si="2"/>
        <v>904456.40800560196</v>
      </c>
    </row>
    <row r="67" spans="1:4" ht="47.25" x14ac:dyDescent="0.25">
      <c r="A67" s="89"/>
      <c r="B67" s="48" t="s">
        <v>161</v>
      </c>
      <c r="C67" s="85" t="s">
        <v>172</v>
      </c>
      <c r="D67" s="85" t="s">
        <v>126</v>
      </c>
    </row>
    <row r="68" spans="1:4" ht="15.75" customHeight="1" x14ac:dyDescent="0.25">
      <c r="A68" s="107">
        <v>5</v>
      </c>
      <c r="B68" s="110" t="s">
        <v>156</v>
      </c>
      <c r="C68" s="53" t="s">
        <v>123</v>
      </c>
      <c r="D68" s="54">
        <f>D4*60%</f>
        <v>78169.807202881158</v>
      </c>
    </row>
    <row r="69" spans="1:4" x14ac:dyDescent="0.25">
      <c r="A69" s="108"/>
      <c r="B69" s="110"/>
      <c r="C69" s="56" t="s">
        <v>109</v>
      </c>
      <c r="D69" s="54">
        <f t="shared" ref="D69:D82" si="3">D5*60%</f>
        <v>102977.73997599041</v>
      </c>
    </row>
    <row r="70" spans="1:4" x14ac:dyDescent="0.25">
      <c r="A70" s="108"/>
      <c r="B70" s="110"/>
      <c r="C70" s="53" t="s">
        <v>110</v>
      </c>
      <c r="D70" s="54">
        <f t="shared" si="3"/>
        <v>270948.02717887156</v>
      </c>
    </row>
    <row r="71" spans="1:4" x14ac:dyDescent="0.25">
      <c r="A71" s="108"/>
      <c r="B71" s="110"/>
      <c r="C71" s="53" t="s">
        <v>111</v>
      </c>
      <c r="D71" s="54">
        <f t="shared" si="3"/>
        <v>364529.46706362534</v>
      </c>
    </row>
    <row r="72" spans="1:4" x14ac:dyDescent="0.25">
      <c r="A72" s="108"/>
      <c r="B72" s="110"/>
      <c r="C72" s="53" t="s">
        <v>112</v>
      </c>
      <c r="D72" s="54">
        <f t="shared" si="3"/>
        <v>389433.00195438176</v>
      </c>
    </row>
    <row r="73" spans="1:4" x14ac:dyDescent="0.25">
      <c r="A73" s="108"/>
      <c r="B73" s="110"/>
      <c r="C73" s="53" t="s">
        <v>113</v>
      </c>
      <c r="D73" s="54">
        <f t="shared" si="3"/>
        <v>415918.488845138</v>
      </c>
    </row>
    <row r="74" spans="1:4" x14ac:dyDescent="0.25">
      <c r="A74" s="108"/>
      <c r="B74" s="110"/>
      <c r="C74" s="53" t="s">
        <v>148</v>
      </c>
      <c r="D74" s="54">
        <f t="shared" si="3"/>
        <v>444209.73973589425</v>
      </c>
    </row>
    <row r="75" spans="1:4" x14ac:dyDescent="0.25">
      <c r="A75" s="108"/>
      <c r="B75" s="110"/>
      <c r="C75" s="57" t="s">
        <v>115</v>
      </c>
      <c r="D75" s="54">
        <f t="shared" si="3"/>
        <v>474562.2306266505</v>
      </c>
    </row>
    <row r="76" spans="1:4" x14ac:dyDescent="0.25">
      <c r="A76" s="108"/>
      <c r="B76" s="110"/>
      <c r="C76" s="57" t="s">
        <v>116</v>
      </c>
      <c r="D76" s="54">
        <f t="shared" si="3"/>
        <v>507267.58437454968</v>
      </c>
    </row>
    <row r="77" spans="1:4" x14ac:dyDescent="0.25">
      <c r="A77" s="108"/>
      <c r="B77" s="110"/>
      <c r="C77" s="57" t="s">
        <v>117</v>
      </c>
      <c r="D77" s="54">
        <f t="shared" si="3"/>
        <v>542658.67983673455</v>
      </c>
    </row>
    <row r="78" spans="1:4" x14ac:dyDescent="0.25">
      <c r="A78" s="108"/>
      <c r="B78" s="110"/>
      <c r="C78" s="57" t="s">
        <v>118</v>
      </c>
      <c r="D78" s="54">
        <f t="shared" si="3"/>
        <v>581110.34958463372</v>
      </c>
    </row>
    <row r="79" spans="1:4" x14ac:dyDescent="0.25">
      <c r="A79" s="108"/>
      <c r="B79" s="110"/>
      <c r="C79" s="57" t="s">
        <v>119</v>
      </c>
      <c r="D79" s="54">
        <f t="shared" si="3"/>
        <v>623071.75418967567</v>
      </c>
    </row>
    <row r="80" spans="1:4" x14ac:dyDescent="0.25">
      <c r="A80" s="108"/>
      <c r="B80" s="110"/>
      <c r="C80" s="57" t="s">
        <v>120</v>
      </c>
      <c r="D80" s="54">
        <f t="shared" si="3"/>
        <v>669022.56336614618</v>
      </c>
    </row>
    <row r="81" spans="1:4" x14ac:dyDescent="0.25">
      <c r="A81" s="108"/>
      <c r="B81" s="110"/>
      <c r="C81" s="57" t="s">
        <v>121</v>
      </c>
      <c r="D81" s="54">
        <f t="shared" si="3"/>
        <v>719533.06225690269</v>
      </c>
    </row>
    <row r="82" spans="1:4" x14ac:dyDescent="0.25">
      <c r="A82" s="109"/>
      <c r="B82" s="110"/>
      <c r="C82" s="57" t="s">
        <v>122</v>
      </c>
      <c r="D82" s="54">
        <f t="shared" si="3"/>
        <v>775248.34971908748</v>
      </c>
    </row>
    <row r="83" spans="1:4" ht="47.25" x14ac:dyDescent="0.25">
      <c r="A83" s="89"/>
      <c r="B83" s="48" t="s">
        <v>161</v>
      </c>
      <c r="C83" s="85" t="s">
        <v>172</v>
      </c>
      <c r="D83" s="85" t="s">
        <v>126</v>
      </c>
    </row>
    <row r="84" spans="1:4" ht="15.75" customHeight="1" x14ac:dyDescent="0.25">
      <c r="A84" s="107">
        <v>6</v>
      </c>
      <c r="B84" s="110" t="s">
        <v>157</v>
      </c>
      <c r="C84" s="53" t="s">
        <v>123</v>
      </c>
      <c r="D84" s="54">
        <f>D4*50%</f>
        <v>65141.506002400965</v>
      </c>
    </row>
    <row r="85" spans="1:4" x14ac:dyDescent="0.25">
      <c r="A85" s="108"/>
      <c r="B85" s="110"/>
      <c r="C85" s="56" t="s">
        <v>109</v>
      </c>
      <c r="D85" s="54">
        <f t="shared" ref="D85:D98" si="4">D5*50%</f>
        <v>85814.783313325344</v>
      </c>
    </row>
    <row r="86" spans="1:4" x14ac:dyDescent="0.25">
      <c r="A86" s="108"/>
      <c r="B86" s="110"/>
      <c r="C86" s="53" t="s">
        <v>110</v>
      </c>
      <c r="D86" s="54">
        <f t="shared" si="4"/>
        <v>225790.02264905963</v>
      </c>
    </row>
    <row r="87" spans="1:4" x14ac:dyDescent="0.25">
      <c r="A87" s="108"/>
      <c r="B87" s="110"/>
      <c r="C87" s="53" t="s">
        <v>111</v>
      </c>
      <c r="D87" s="54">
        <f t="shared" si="4"/>
        <v>303774.55588635447</v>
      </c>
    </row>
    <row r="88" spans="1:4" x14ac:dyDescent="0.25">
      <c r="A88" s="108"/>
      <c r="B88" s="110"/>
      <c r="C88" s="53" t="s">
        <v>112</v>
      </c>
      <c r="D88" s="54">
        <f t="shared" si="4"/>
        <v>324527.50162865146</v>
      </c>
    </row>
    <row r="89" spans="1:4" x14ac:dyDescent="0.25">
      <c r="A89" s="108"/>
      <c r="B89" s="110"/>
      <c r="C89" s="53" t="s">
        <v>113</v>
      </c>
      <c r="D89" s="54">
        <f t="shared" si="4"/>
        <v>346598.74070428166</v>
      </c>
    </row>
    <row r="90" spans="1:4" x14ac:dyDescent="0.25">
      <c r="A90" s="108"/>
      <c r="B90" s="110"/>
      <c r="C90" s="53" t="s">
        <v>148</v>
      </c>
      <c r="D90" s="54">
        <f t="shared" si="4"/>
        <v>370174.78311324521</v>
      </c>
    </row>
    <row r="91" spans="1:4" x14ac:dyDescent="0.25">
      <c r="A91" s="108"/>
      <c r="B91" s="110"/>
      <c r="C91" s="57" t="s">
        <v>115</v>
      </c>
      <c r="D91" s="54">
        <f t="shared" si="4"/>
        <v>395468.52552220877</v>
      </c>
    </row>
    <row r="92" spans="1:4" x14ac:dyDescent="0.25">
      <c r="A92" s="108"/>
      <c r="B92" s="110"/>
      <c r="C92" s="57" t="s">
        <v>116</v>
      </c>
      <c r="D92" s="54">
        <f t="shared" si="4"/>
        <v>422722.98697879142</v>
      </c>
    </row>
    <row r="93" spans="1:4" x14ac:dyDescent="0.25">
      <c r="A93" s="108"/>
      <c r="B93" s="110"/>
      <c r="C93" s="57" t="s">
        <v>117</v>
      </c>
      <c r="D93" s="54">
        <f t="shared" si="4"/>
        <v>452215.56653061212</v>
      </c>
    </row>
    <row r="94" spans="1:4" x14ac:dyDescent="0.25">
      <c r="A94" s="108"/>
      <c r="B94" s="110"/>
      <c r="C94" s="57" t="s">
        <v>118</v>
      </c>
      <c r="D94" s="54">
        <f t="shared" si="4"/>
        <v>484258.62465386145</v>
      </c>
    </row>
    <row r="95" spans="1:4" x14ac:dyDescent="0.25">
      <c r="A95" s="108"/>
      <c r="B95" s="110"/>
      <c r="C95" s="57" t="s">
        <v>119</v>
      </c>
      <c r="D95" s="54">
        <f t="shared" si="4"/>
        <v>519226.46182472975</v>
      </c>
    </row>
    <row r="96" spans="1:4" x14ac:dyDescent="0.25">
      <c r="A96" s="108"/>
      <c r="B96" s="110"/>
      <c r="C96" s="57" t="s">
        <v>120</v>
      </c>
      <c r="D96" s="54">
        <f t="shared" si="4"/>
        <v>557518.80280512187</v>
      </c>
    </row>
    <row r="97" spans="1:4" x14ac:dyDescent="0.25">
      <c r="A97" s="108"/>
      <c r="B97" s="110"/>
      <c r="C97" s="57" t="s">
        <v>121</v>
      </c>
      <c r="D97" s="54">
        <f t="shared" si="4"/>
        <v>599610.88521408557</v>
      </c>
    </row>
    <row r="98" spans="1:4" x14ac:dyDescent="0.25">
      <c r="A98" s="109"/>
      <c r="B98" s="110"/>
      <c r="C98" s="57" t="s">
        <v>122</v>
      </c>
      <c r="D98" s="54">
        <f t="shared" si="4"/>
        <v>646040.29143257288</v>
      </c>
    </row>
    <row r="99" spans="1:4" ht="47.25" x14ac:dyDescent="0.25">
      <c r="A99" s="48" t="s">
        <v>159</v>
      </c>
      <c r="B99" s="48" t="s">
        <v>129</v>
      </c>
      <c r="C99" s="85" t="s">
        <v>172</v>
      </c>
      <c r="D99" s="85" t="s">
        <v>126</v>
      </c>
    </row>
    <row r="100" spans="1:4" ht="15.75" customHeight="1" x14ac:dyDescent="0.25">
      <c r="A100" s="107"/>
      <c r="B100" s="112" t="s">
        <v>147</v>
      </c>
      <c r="C100" s="49" t="s">
        <v>130</v>
      </c>
      <c r="D100" s="59">
        <v>15383.777777777777</v>
      </c>
    </row>
    <row r="101" spans="1:4" x14ac:dyDescent="0.25">
      <c r="A101" s="108"/>
      <c r="B101" s="112"/>
      <c r="C101" s="49" t="s">
        <v>131</v>
      </c>
      <c r="D101" s="59">
        <v>22042.699722222223</v>
      </c>
    </row>
    <row r="102" spans="1:4" x14ac:dyDescent="0.25">
      <c r="A102" s="108"/>
      <c r="B102" s="112"/>
      <c r="C102" s="49" t="s">
        <v>132</v>
      </c>
      <c r="D102" s="59">
        <v>100410.40824074073</v>
      </c>
    </row>
    <row r="103" spans="1:4" x14ac:dyDescent="0.25">
      <c r="A103" s="108"/>
      <c r="B103" s="112"/>
      <c r="C103" s="49" t="s">
        <v>133</v>
      </c>
      <c r="D103" s="59">
        <v>146733.37138888889</v>
      </c>
    </row>
    <row r="104" spans="1:4" x14ac:dyDescent="0.25">
      <c r="A104" s="108"/>
      <c r="B104" s="112"/>
      <c r="C104" s="49" t="s">
        <v>134</v>
      </c>
      <c r="D104" s="59">
        <v>163246.91898148149</v>
      </c>
    </row>
    <row r="105" spans="1:4" x14ac:dyDescent="0.25">
      <c r="A105" s="109"/>
      <c r="B105" s="112"/>
      <c r="C105" s="49" t="s">
        <v>135</v>
      </c>
      <c r="D105" s="59">
        <v>172152.6963888889</v>
      </c>
    </row>
    <row r="106" spans="1:4" ht="47.25" x14ac:dyDescent="0.25">
      <c r="A106" s="48" t="s">
        <v>160</v>
      </c>
      <c r="B106" s="48" t="s">
        <v>136</v>
      </c>
      <c r="C106" s="85" t="s">
        <v>172</v>
      </c>
      <c r="D106" s="85" t="s">
        <v>126</v>
      </c>
    </row>
    <row r="107" spans="1:4" ht="15.75" customHeight="1" x14ac:dyDescent="0.25">
      <c r="A107" s="107"/>
      <c r="B107" s="111" t="s">
        <v>178</v>
      </c>
      <c r="C107" s="49" t="s">
        <v>137</v>
      </c>
      <c r="D107" s="60">
        <v>51162.98049654546</v>
      </c>
    </row>
    <row r="108" spans="1:4" x14ac:dyDescent="0.25">
      <c r="A108" s="108"/>
      <c r="B108" s="111"/>
      <c r="C108" s="49" t="s">
        <v>138</v>
      </c>
      <c r="D108" s="60">
        <v>95755.783162125794</v>
      </c>
    </row>
    <row r="109" spans="1:4" x14ac:dyDescent="0.25">
      <c r="A109" s="108"/>
      <c r="B109" s="111"/>
      <c r="C109" s="49" t="s">
        <v>139</v>
      </c>
      <c r="D109" s="60">
        <v>143841.12489474021</v>
      </c>
    </row>
    <row r="110" spans="1:4" x14ac:dyDescent="0.25">
      <c r="A110" s="108"/>
      <c r="B110" s="111"/>
      <c r="C110" s="49" t="s">
        <v>140</v>
      </c>
      <c r="D110" s="60">
        <v>154151.85703390435</v>
      </c>
    </row>
    <row r="111" spans="1:4" x14ac:dyDescent="0.25">
      <c r="A111" s="108"/>
      <c r="B111" s="111"/>
      <c r="C111" s="49" t="s">
        <v>141</v>
      </c>
      <c r="D111" s="60">
        <v>165836.10884131494</v>
      </c>
    </row>
    <row r="112" spans="1:4" x14ac:dyDescent="0.25">
      <c r="A112" s="108"/>
      <c r="B112" s="111"/>
      <c r="C112" s="49" t="s">
        <v>142</v>
      </c>
      <c r="D112" s="60">
        <v>176774.10679298805</v>
      </c>
    </row>
    <row r="113" spans="1:4" x14ac:dyDescent="0.25">
      <c r="A113" s="108"/>
      <c r="B113" s="111"/>
      <c r="C113" s="49" t="s">
        <v>143</v>
      </c>
      <c r="D113" s="60">
        <v>189210.67212222831</v>
      </c>
    </row>
    <row r="114" spans="1:4" x14ac:dyDescent="0.25">
      <c r="A114" s="108"/>
      <c r="B114" s="111"/>
      <c r="C114" s="49" t="s">
        <v>144</v>
      </c>
      <c r="D114" s="60">
        <v>206218.20852679535</v>
      </c>
    </row>
    <row r="115" spans="1:4" x14ac:dyDescent="0.25">
      <c r="A115" s="108"/>
      <c r="B115" s="111"/>
      <c r="C115" s="49" t="s">
        <v>145</v>
      </c>
      <c r="D115" s="60">
        <v>226069.55630576992</v>
      </c>
    </row>
    <row r="116" spans="1:4" x14ac:dyDescent="0.25">
      <c r="A116" s="109"/>
      <c r="B116" s="111"/>
      <c r="C116" s="49" t="s">
        <v>114</v>
      </c>
      <c r="D116" s="60">
        <v>249389.10171507622</v>
      </c>
    </row>
    <row r="117" spans="1:4" x14ac:dyDescent="0.25">
      <c r="A117" s="48"/>
      <c r="B117" s="111"/>
      <c r="C117" s="49" t="s">
        <v>146</v>
      </c>
      <c r="D117" s="60">
        <v>262258.60167091421</v>
      </c>
    </row>
  </sheetData>
  <mergeCells count="16">
    <mergeCell ref="B4:B18"/>
    <mergeCell ref="B20:B34"/>
    <mergeCell ref="B36:B50"/>
    <mergeCell ref="B84:B98"/>
    <mergeCell ref="B100:B105"/>
    <mergeCell ref="A4:A18"/>
    <mergeCell ref="A20:A34"/>
    <mergeCell ref="A36:A50"/>
    <mergeCell ref="A52:A66"/>
    <mergeCell ref="A68:A82"/>
    <mergeCell ref="A84:A98"/>
    <mergeCell ref="A100:A105"/>
    <mergeCell ref="A107:A116"/>
    <mergeCell ref="B52:B66"/>
    <mergeCell ref="B68:B82"/>
    <mergeCell ref="B107:B1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7"/>
  <sheetViews>
    <sheetView workbookViewId="0">
      <selection activeCell="I27" sqref="I27"/>
    </sheetView>
  </sheetViews>
  <sheetFormatPr defaultRowHeight="15.75" x14ac:dyDescent="0.25"/>
  <cols>
    <col min="1" max="1" width="8.125" customWidth="1"/>
    <col min="2" max="2" width="10.5" customWidth="1"/>
    <col min="3" max="3" width="15.375" customWidth="1"/>
    <col min="4" max="5" width="14.375" bestFit="1" customWidth="1"/>
    <col min="6" max="8" width="12.75" bestFit="1" customWidth="1"/>
  </cols>
  <sheetData>
    <row r="1" spans="2:8" x14ac:dyDescent="0.25">
      <c r="B1" s="113" t="s">
        <v>126</v>
      </c>
      <c r="C1" s="113"/>
      <c r="D1" s="113"/>
      <c r="E1" s="113"/>
      <c r="F1" s="113"/>
      <c r="G1" s="113"/>
      <c r="H1" s="113"/>
    </row>
    <row r="2" spans="2:8" ht="47.25" x14ac:dyDescent="0.25">
      <c r="B2" s="83" t="s">
        <v>172</v>
      </c>
      <c r="C2" s="87" t="s">
        <v>151</v>
      </c>
      <c r="D2" s="87" t="s">
        <v>173</v>
      </c>
      <c r="E2" s="87" t="s">
        <v>174</v>
      </c>
      <c r="F2" s="87" t="s">
        <v>175</v>
      </c>
      <c r="G2" s="87" t="s">
        <v>176</v>
      </c>
      <c r="H2" s="87" t="s">
        <v>177</v>
      </c>
    </row>
    <row r="3" spans="2:8" x14ac:dyDescent="0.25">
      <c r="B3" s="86" t="s">
        <v>150</v>
      </c>
      <c r="C3" s="88">
        <f>'ĐƠN GIÁ BT THEO ĐK'!D4</f>
        <v>130283.01200480193</v>
      </c>
      <c r="D3" s="88">
        <f>C3*0.9</f>
        <v>117254.71080432174</v>
      </c>
      <c r="E3" s="88">
        <f>C3*0.8</f>
        <v>104226.40960384154</v>
      </c>
      <c r="F3" s="88">
        <f>C3*0.7</f>
        <v>91198.108403361344</v>
      </c>
      <c r="G3" s="88">
        <f>C3*0.6</f>
        <v>78169.807202881158</v>
      </c>
      <c r="H3" s="88">
        <f>C3*0.5</f>
        <v>65141.506002400965</v>
      </c>
    </row>
    <row r="4" spans="2:8" x14ac:dyDescent="0.25">
      <c r="B4" s="86" t="s">
        <v>109</v>
      </c>
      <c r="C4" s="88">
        <f>'ĐƠN GIÁ BT THEO ĐK'!D5</f>
        <v>171629.56662665069</v>
      </c>
      <c r="D4" s="88">
        <f t="shared" ref="D4:D17" si="0">C4*0.9</f>
        <v>154466.60996398563</v>
      </c>
      <c r="E4" s="88">
        <f t="shared" ref="E4:E17" si="1">C4*0.8</f>
        <v>137303.65330132056</v>
      </c>
      <c r="F4" s="88">
        <f t="shared" ref="F4:F17" si="2">C4*0.7</f>
        <v>120140.69663865547</v>
      </c>
      <c r="G4" s="88">
        <f t="shared" ref="G4:G17" si="3">C4*0.6</f>
        <v>102977.73997599041</v>
      </c>
      <c r="H4" s="88">
        <f t="shared" ref="H4:H17" si="4">C4*0.5</f>
        <v>85814.783313325344</v>
      </c>
    </row>
    <row r="5" spans="2:8" x14ac:dyDescent="0.25">
      <c r="B5" s="86" t="s">
        <v>110</v>
      </c>
      <c r="C5" s="88">
        <f>'ĐƠN GIÁ BT THEO ĐK'!D6</f>
        <v>451580.04529811925</v>
      </c>
      <c r="D5" s="88">
        <f t="shared" si="0"/>
        <v>406422.04076830734</v>
      </c>
      <c r="E5" s="88">
        <f t="shared" si="1"/>
        <v>361264.03623849544</v>
      </c>
      <c r="F5" s="88">
        <f t="shared" si="2"/>
        <v>316106.03170868347</v>
      </c>
      <c r="G5" s="88">
        <f t="shared" si="3"/>
        <v>270948.02717887156</v>
      </c>
      <c r="H5" s="88">
        <f t="shared" si="4"/>
        <v>225790.02264905963</v>
      </c>
    </row>
    <row r="6" spans="2:8" x14ac:dyDescent="0.25">
      <c r="B6" s="86" t="s">
        <v>111</v>
      </c>
      <c r="C6" s="88">
        <f>'ĐƠN GIÁ BT THEO ĐK'!D7</f>
        <v>607549.11177270894</v>
      </c>
      <c r="D6" s="88">
        <f t="shared" si="0"/>
        <v>546794.20059543801</v>
      </c>
      <c r="E6" s="88">
        <f t="shared" si="1"/>
        <v>486039.2894181672</v>
      </c>
      <c r="F6" s="88">
        <f t="shared" si="2"/>
        <v>425284.37824089621</v>
      </c>
      <c r="G6" s="88">
        <f t="shared" si="3"/>
        <v>364529.46706362534</v>
      </c>
      <c r="H6" s="88">
        <f t="shared" si="4"/>
        <v>303774.55588635447</v>
      </c>
    </row>
    <row r="7" spans="2:8" x14ac:dyDescent="0.25">
      <c r="B7" s="86" t="s">
        <v>112</v>
      </c>
      <c r="C7" s="88">
        <f>'ĐƠN GIÁ BT THEO ĐK'!D8</f>
        <v>649055.00325730292</v>
      </c>
      <c r="D7" s="88">
        <f t="shared" si="0"/>
        <v>584149.50293157261</v>
      </c>
      <c r="E7" s="88">
        <f t="shared" si="1"/>
        <v>519244.00260584237</v>
      </c>
      <c r="F7" s="88">
        <f t="shared" si="2"/>
        <v>454338.50228011201</v>
      </c>
      <c r="G7" s="88">
        <f t="shared" si="3"/>
        <v>389433.00195438176</v>
      </c>
      <c r="H7" s="88">
        <f t="shared" si="4"/>
        <v>324527.50162865146</v>
      </c>
    </row>
    <row r="8" spans="2:8" x14ac:dyDescent="0.25">
      <c r="B8" s="86" t="s">
        <v>113</v>
      </c>
      <c r="C8" s="88">
        <f>'ĐƠN GIÁ BT THEO ĐK'!D9</f>
        <v>693197.48140856333</v>
      </c>
      <c r="D8" s="88">
        <f t="shared" si="0"/>
        <v>623877.73326770705</v>
      </c>
      <c r="E8" s="88">
        <f t="shared" si="1"/>
        <v>554557.98512685066</v>
      </c>
      <c r="F8" s="88">
        <f t="shared" si="2"/>
        <v>485238.23698599427</v>
      </c>
      <c r="G8" s="88">
        <f t="shared" si="3"/>
        <v>415918.488845138</v>
      </c>
      <c r="H8" s="88">
        <f t="shared" si="4"/>
        <v>346598.74070428166</v>
      </c>
    </row>
    <row r="9" spans="2:8" x14ac:dyDescent="0.25">
      <c r="B9" s="86" t="s">
        <v>148</v>
      </c>
      <c r="C9" s="88">
        <f>'ĐƠN GIÁ BT THEO ĐK'!D10</f>
        <v>740349.56622649042</v>
      </c>
      <c r="D9" s="88">
        <f t="shared" si="0"/>
        <v>666314.60960384144</v>
      </c>
      <c r="E9" s="88">
        <f t="shared" si="1"/>
        <v>592279.65298119234</v>
      </c>
      <c r="F9" s="88">
        <f t="shared" si="2"/>
        <v>518244.69635854324</v>
      </c>
      <c r="G9" s="88">
        <f t="shared" si="3"/>
        <v>444209.73973589425</v>
      </c>
      <c r="H9" s="88">
        <f t="shared" si="4"/>
        <v>370174.78311324521</v>
      </c>
    </row>
    <row r="10" spans="2:8" x14ac:dyDescent="0.25">
      <c r="B10" s="86" t="s">
        <v>115</v>
      </c>
      <c r="C10" s="88">
        <f>'ĐƠN GIÁ BT THEO ĐK'!D11</f>
        <v>790937.05104441755</v>
      </c>
      <c r="D10" s="88">
        <f t="shared" si="0"/>
        <v>711843.34593997581</v>
      </c>
      <c r="E10" s="88">
        <f t="shared" si="1"/>
        <v>632749.64083553408</v>
      </c>
      <c r="F10" s="88">
        <f t="shared" si="2"/>
        <v>553655.93573109224</v>
      </c>
      <c r="G10" s="88">
        <f t="shared" si="3"/>
        <v>474562.2306266505</v>
      </c>
      <c r="H10" s="88">
        <f t="shared" si="4"/>
        <v>395468.52552220877</v>
      </c>
    </row>
    <row r="11" spans="2:8" x14ac:dyDescent="0.25">
      <c r="B11" s="86" t="s">
        <v>116</v>
      </c>
      <c r="C11" s="88">
        <f>'ĐƠN GIÁ BT THEO ĐK'!D12</f>
        <v>845445.97395758284</v>
      </c>
      <c r="D11" s="88">
        <f t="shared" si="0"/>
        <v>760901.37656182458</v>
      </c>
      <c r="E11" s="88">
        <f t="shared" si="1"/>
        <v>676356.77916606632</v>
      </c>
      <c r="F11" s="88">
        <f t="shared" si="2"/>
        <v>591812.18177030794</v>
      </c>
      <c r="G11" s="88">
        <f t="shared" si="3"/>
        <v>507267.58437454968</v>
      </c>
      <c r="H11" s="88">
        <f t="shared" si="4"/>
        <v>422722.98697879142</v>
      </c>
    </row>
    <row r="12" spans="2:8" x14ac:dyDescent="0.25">
      <c r="B12" s="86" t="s">
        <v>117</v>
      </c>
      <c r="C12" s="88">
        <f>'ĐƠN GIÁ BT THEO ĐK'!D13</f>
        <v>904431.13306122425</v>
      </c>
      <c r="D12" s="88">
        <f t="shared" si="0"/>
        <v>813988.01975510188</v>
      </c>
      <c r="E12" s="88">
        <f t="shared" si="1"/>
        <v>723544.9064489794</v>
      </c>
      <c r="F12" s="88">
        <f t="shared" si="2"/>
        <v>633101.79314285691</v>
      </c>
      <c r="G12" s="88">
        <f t="shared" si="3"/>
        <v>542658.67983673455</v>
      </c>
      <c r="H12" s="88">
        <f t="shared" si="4"/>
        <v>452215.56653061212</v>
      </c>
    </row>
    <row r="13" spans="2:8" x14ac:dyDescent="0.25">
      <c r="B13" s="86" t="s">
        <v>118</v>
      </c>
      <c r="C13" s="88">
        <f>'ĐƠN GIÁ BT THEO ĐK'!D14</f>
        <v>968517.2493077229</v>
      </c>
      <c r="D13" s="88">
        <f t="shared" si="0"/>
        <v>871665.52437695058</v>
      </c>
      <c r="E13" s="88">
        <f t="shared" si="1"/>
        <v>774813.79944617837</v>
      </c>
      <c r="F13" s="88">
        <f t="shared" si="2"/>
        <v>677962.07451540604</v>
      </c>
      <c r="G13" s="88">
        <f t="shared" si="3"/>
        <v>581110.34958463372</v>
      </c>
      <c r="H13" s="88">
        <f t="shared" si="4"/>
        <v>484258.62465386145</v>
      </c>
    </row>
    <row r="14" spans="2:8" x14ac:dyDescent="0.25">
      <c r="B14" s="86" t="s">
        <v>119</v>
      </c>
      <c r="C14" s="88">
        <f>'ĐƠN GIÁ BT THEO ĐK'!D15</f>
        <v>1038452.9236494595</v>
      </c>
      <c r="D14" s="88">
        <f t="shared" si="0"/>
        <v>934607.63128451351</v>
      </c>
      <c r="E14" s="88">
        <f t="shared" si="1"/>
        <v>830762.33891956764</v>
      </c>
      <c r="F14" s="88">
        <f t="shared" si="2"/>
        <v>726917.04655462166</v>
      </c>
      <c r="G14" s="88">
        <f t="shared" si="3"/>
        <v>623071.75418967567</v>
      </c>
      <c r="H14" s="88">
        <f t="shared" si="4"/>
        <v>519226.46182472975</v>
      </c>
    </row>
    <row r="15" spans="2:8" x14ac:dyDescent="0.25">
      <c r="B15" s="86" t="s">
        <v>120</v>
      </c>
      <c r="C15" s="88">
        <f>'ĐƠN GIÁ BT THEO ĐK'!D16</f>
        <v>1115037.6056102437</v>
      </c>
      <c r="D15" s="88">
        <f t="shared" si="0"/>
        <v>1003533.8450492194</v>
      </c>
      <c r="E15" s="88">
        <f t="shared" si="1"/>
        <v>892030.08448819502</v>
      </c>
      <c r="F15" s="88">
        <f t="shared" si="2"/>
        <v>780526.3239271706</v>
      </c>
      <c r="G15" s="88">
        <f t="shared" si="3"/>
        <v>669022.56336614618</v>
      </c>
      <c r="H15" s="88">
        <f t="shared" si="4"/>
        <v>557518.80280512187</v>
      </c>
    </row>
    <row r="16" spans="2:8" x14ac:dyDescent="0.25">
      <c r="B16" s="86" t="s">
        <v>121</v>
      </c>
      <c r="C16" s="88">
        <f>'ĐƠN GIÁ BT THEO ĐK'!D17</f>
        <v>1199221.7704281711</v>
      </c>
      <c r="D16" s="88">
        <f t="shared" si="0"/>
        <v>1079299.5933853542</v>
      </c>
      <c r="E16" s="88">
        <f t="shared" si="1"/>
        <v>959377.41634253692</v>
      </c>
      <c r="F16" s="88">
        <f t="shared" si="2"/>
        <v>839455.2392997198</v>
      </c>
      <c r="G16" s="88">
        <f t="shared" si="3"/>
        <v>719533.06225690269</v>
      </c>
      <c r="H16" s="88">
        <f t="shared" si="4"/>
        <v>599610.88521408557</v>
      </c>
    </row>
    <row r="17" spans="2:12" x14ac:dyDescent="0.25">
      <c r="B17" s="86" t="s">
        <v>122</v>
      </c>
      <c r="C17" s="88">
        <f>'ĐƠN GIÁ BT THEO ĐK'!D18</f>
        <v>1292080.5828651458</v>
      </c>
      <c r="D17" s="88">
        <f t="shared" si="0"/>
        <v>1162872.5245786312</v>
      </c>
      <c r="E17" s="88">
        <f t="shared" si="1"/>
        <v>1033664.4662921167</v>
      </c>
      <c r="F17" s="88">
        <f t="shared" si="2"/>
        <v>904456.40800560196</v>
      </c>
      <c r="G17" s="88">
        <f t="shared" si="3"/>
        <v>775248.34971908748</v>
      </c>
      <c r="H17" s="88">
        <f t="shared" si="4"/>
        <v>646040.29143257288</v>
      </c>
      <c r="L17" s="47"/>
    </row>
  </sheetData>
  <mergeCells count="1">
    <mergeCell ref="B1:H1"/>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DT CHI PHÍ 01HA</vt:lpstr>
      <vt:lpstr>Chi phí 1 cây</vt:lpstr>
      <vt:lpstr>ĐƠN GIÁ BT THEO ĐK</vt:lpstr>
      <vt:lpstr>ĐƠN GIÁ THEO NHÓM GỖ</vt:lpstr>
      <vt:lpstr>Sheet2</vt:lpstr>
      <vt:lpstr>'ĐƠN GIÁ THEO NHÓM GỖ'!Print_Titles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tvt</dc:creator>
  <cp:lastModifiedBy>DDT</cp:lastModifiedBy>
  <cp:lastPrinted>2024-12-25T02:57:28Z</cp:lastPrinted>
  <dcterms:created xsi:type="dcterms:W3CDTF">2024-02-21T06:37:58Z</dcterms:created>
  <dcterms:modified xsi:type="dcterms:W3CDTF">2025-05-23T07:49:54Z</dcterms:modified>
</cp:coreProperties>
</file>