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2760" yWindow="32760" windowWidth="23040" windowHeight="9060" activeTab="3"/>
  </bookViews>
  <sheets>
    <sheet name="NGẬP MẶN" sheetId="2" r:id="rId1"/>
    <sheet name="quy đổi ra đường kính" sheetId="4" r:id="rId2"/>
    <sheet name="quy đổi ra 01 cây" sheetId="5" r:id="rId3"/>
    <sheet name="đơn giá" sheetId="6" r:id="rId4"/>
  </sheets>
  <definedNames>
    <definedName name="_xlnm.Print_Titles" localSheetId="0">'NGẬP MẶN'!$14:$15</definedName>
  </definedNames>
  <calcPr calcId="144525" iterateDelta="0"/>
</workbook>
</file>

<file path=xl/calcChain.xml><?xml version="1.0" encoding="utf-8"?>
<calcChain xmlns="http://schemas.openxmlformats.org/spreadsheetml/2006/main">
  <c r="H9" i="5" l="1"/>
  <c r="H10" i="5"/>
  <c r="H11" i="5"/>
  <c r="H12" i="5"/>
  <c r="H13" i="5"/>
  <c r="H14" i="5"/>
  <c r="H15" i="5"/>
  <c r="H16" i="5"/>
  <c r="H17" i="5"/>
  <c r="H18" i="5"/>
  <c r="H19" i="5"/>
  <c r="H20" i="5"/>
  <c r="H21" i="5"/>
  <c r="H22" i="5"/>
  <c r="H23" i="5"/>
  <c r="H24" i="5"/>
  <c r="H25" i="5"/>
  <c r="H26" i="5"/>
  <c r="H27" i="5"/>
  <c r="H28" i="5"/>
  <c r="H29" i="5"/>
  <c r="H30" i="5"/>
  <c r="H31" i="5"/>
  <c r="H32" i="5"/>
  <c r="H33" i="5"/>
  <c r="H34" i="5"/>
  <c r="J34" i="5"/>
  <c r="D6"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5" i="5"/>
  <c r="N10" i="5"/>
  <c r="N11" i="5"/>
  <c r="N12" i="5"/>
  <c r="N13" i="5"/>
  <c r="N14" i="5"/>
  <c r="N15" i="5"/>
  <c r="N16" i="5"/>
  <c r="N17" i="5"/>
  <c r="N18" i="5"/>
  <c r="N19" i="5"/>
  <c r="N20" i="5"/>
  <c r="N21" i="5"/>
  <c r="N22" i="5"/>
  <c r="N23" i="5"/>
  <c r="N24" i="5"/>
  <c r="N25" i="5"/>
  <c r="N26" i="5"/>
  <c r="N27" i="5"/>
  <c r="N28" i="5"/>
  <c r="N29" i="5"/>
  <c r="N30" i="5"/>
  <c r="N31" i="5"/>
  <c r="N32" i="5"/>
  <c r="N33" i="5"/>
  <c r="N34" i="5"/>
  <c r="N9" i="5"/>
  <c r="E10" i="5" l="1"/>
  <c r="F10" i="5" s="1"/>
  <c r="E9" i="5"/>
  <c r="F9" i="5" s="1"/>
  <c r="E8" i="5"/>
  <c r="F8" i="5" s="1"/>
  <c r="E7" i="5"/>
  <c r="F7" i="5" s="1"/>
  <c r="E6" i="5"/>
  <c r="F6" i="5" s="1"/>
  <c r="E5" i="5"/>
  <c r="F5" i="5" s="1"/>
  <c r="G5" i="5" s="1"/>
  <c r="J5" i="5" l="1"/>
  <c r="G6" i="5"/>
  <c r="G7" i="5"/>
  <c r="G8" i="5"/>
  <c r="G9" i="5" s="1"/>
  <c r="E11" i="5"/>
  <c r="F11" i="5" s="1"/>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19" i="4"/>
  <c r="J7" i="5" l="1"/>
  <c r="E12" i="5"/>
  <c r="F12" i="5" s="1"/>
  <c r="J8" i="5"/>
  <c r="J6" i="5"/>
  <c r="G10" i="5"/>
  <c r="J9" i="5"/>
  <c r="E13" i="5"/>
  <c r="F13" i="5" s="1"/>
  <c r="G51" i="2"/>
  <c r="G52" i="2"/>
  <c r="E14" i="4"/>
  <c r="E13" i="4"/>
  <c r="E12" i="4"/>
  <c r="E11" i="4"/>
  <c r="E10" i="4"/>
  <c r="E9" i="4"/>
  <c r="E8" i="4"/>
  <c r="E7" i="4"/>
  <c r="E10" i="6" l="1"/>
  <c r="G11" i="5"/>
  <c r="J10" i="5"/>
  <c r="E14" i="5"/>
  <c r="F14" i="5" s="1"/>
  <c r="G25" i="2"/>
  <c r="G24" i="2" s="1"/>
  <c r="E11" i="6" l="1"/>
  <c r="G12" i="5"/>
  <c r="J11" i="5"/>
  <c r="E15" i="5"/>
  <c r="F15" i="5" s="1"/>
  <c r="G23" i="2"/>
  <c r="E49" i="2"/>
  <c r="G49" i="2" s="1"/>
  <c r="E46" i="2"/>
  <c r="G46" i="2" s="1"/>
  <c r="E38" i="2"/>
  <c r="G38" i="2" s="1"/>
  <c r="E34" i="2"/>
  <c r="G34" i="2" s="1"/>
  <c r="E32" i="2"/>
  <c r="G32" i="2" s="1"/>
  <c r="E31" i="2"/>
  <c r="G31" i="2" s="1"/>
  <c r="E30" i="2"/>
  <c r="G30" i="2" s="1"/>
  <c r="E22" i="2"/>
  <c r="G22" i="2" s="1"/>
  <c r="E21" i="2"/>
  <c r="E39" i="2" s="1"/>
  <c r="E20" i="2"/>
  <c r="G20" i="2" s="1"/>
  <c r="E42" i="2"/>
  <c r="G50" i="2"/>
  <c r="G47" i="2"/>
  <c r="G44" i="2"/>
  <c r="G40" i="2"/>
  <c r="G19" i="2"/>
  <c r="G36" i="2"/>
  <c r="E29" i="2"/>
  <c r="G13" i="5" l="1"/>
  <c r="J12" i="5"/>
  <c r="E16" i="5"/>
  <c r="F16" i="5" s="1"/>
  <c r="G45" i="2"/>
  <c r="E28" i="2"/>
  <c r="E48" i="2"/>
  <c r="E43" i="2"/>
  <c r="G43" i="2" s="1"/>
  <c r="G21" i="2"/>
  <c r="G18" i="2" s="1"/>
  <c r="G17" i="2" s="1"/>
  <c r="G48" i="2"/>
  <c r="E37" i="2"/>
  <c r="G39" i="2"/>
  <c r="G37" i="2" s="1"/>
  <c r="G29" i="2"/>
  <c r="G28" i="2" s="1"/>
  <c r="E45" i="2"/>
  <c r="E35" i="2"/>
  <c r="G35" i="2" s="1"/>
  <c r="G33" i="2" s="1"/>
  <c r="G42" i="2"/>
  <c r="E12" i="6" l="1"/>
  <c r="G14" i="5"/>
  <c r="J13" i="5"/>
  <c r="E17" i="5"/>
  <c r="F17" i="5" s="1"/>
  <c r="E41" i="2"/>
  <c r="G41" i="2"/>
  <c r="G27" i="2"/>
  <c r="G26" i="2" s="1"/>
  <c r="G16" i="2" s="1"/>
  <c r="E33" i="2"/>
  <c r="E27" i="2" s="1"/>
  <c r="G15" i="5" l="1"/>
  <c r="J14" i="5"/>
  <c r="E18" i="5"/>
  <c r="F18" i="5" s="1"/>
  <c r="E26" i="2"/>
  <c r="G16" i="5" l="1"/>
  <c r="J15" i="5"/>
  <c r="E19" i="5"/>
  <c r="F19" i="5" s="1"/>
  <c r="G17" i="5" l="1"/>
  <c r="J16" i="5"/>
  <c r="E20" i="5"/>
  <c r="F20" i="5" s="1"/>
  <c r="E13" i="6" l="1"/>
  <c r="G18" i="5"/>
  <c r="J17" i="5"/>
  <c r="E21" i="5"/>
  <c r="F21" i="5" s="1"/>
  <c r="G19" i="5" l="1"/>
  <c r="J18" i="5"/>
  <c r="E22" i="5"/>
  <c r="F22" i="5" s="1"/>
  <c r="G20" i="5" l="1"/>
  <c r="J19" i="5"/>
  <c r="E23" i="5"/>
  <c r="F23" i="5" s="1"/>
  <c r="E14" i="6" l="1"/>
  <c r="G21" i="5"/>
  <c r="J20" i="5"/>
  <c r="E24" i="5"/>
  <c r="F24" i="5" s="1"/>
  <c r="G22" i="5" l="1"/>
  <c r="J21" i="5"/>
  <c r="E25" i="5"/>
  <c r="F25" i="5" s="1"/>
  <c r="E15" i="6" l="1"/>
  <c r="G23" i="5"/>
  <c r="J22" i="5"/>
  <c r="E26" i="5"/>
  <c r="F26" i="5" s="1"/>
  <c r="G24" i="5" l="1"/>
  <c r="J23" i="5"/>
  <c r="E27" i="5"/>
  <c r="F27" i="5" s="1"/>
  <c r="G25" i="5" l="1"/>
  <c r="J24" i="5"/>
  <c r="E28" i="5"/>
  <c r="F28" i="5" s="1"/>
  <c r="E16" i="6" l="1"/>
  <c r="G26" i="5"/>
  <c r="J25" i="5"/>
  <c r="E29" i="5"/>
  <c r="F29" i="5" s="1"/>
  <c r="G27" i="5" l="1"/>
  <c r="J26" i="5"/>
  <c r="E30" i="5"/>
  <c r="F30" i="5" s="1"/>
  <c r="G28" i="5" l="1"/>
  <c r="J27" i="5"/>
  <c r="E31" i="5"/>
  <c r="F31" i="5" s="1"/>
  <c r="E17" i="6" l="1"/>
  <c r="G29" i="5"/>
  <c r="J28" i="5"/>
  <c r="E32" i="5"/>
  <c r="F32" i="5" s="1"/>
  <c r="G30" i="5" l="1"/>
  <c r="J29" i="5"/>
  <c r="E33" i="5"/>
  <c r="F33" i="5" s="1"/>
  <c r="G31" i="5" l="1"/>
  <c r="J30" i="5"/>
  <c r="E34" i="5"/>
  <c r="F34" i="5" s="1"/>
  <c r="E18" i="6" l="1"/>
  <c r="G32" i="5"/>
  <c r="J31" i="5"/>
  <c r="G33" i="5" l="1"/>
  <c r="J32" i="5"/>
  <c r="G34" i="5" l="1"/>
  <c r="J33" i="5"/>
  <c r="E20" i="6" s="1"/>
  <c r="E19" i="6" l="1"/>
</calcChain>
</file>

<file path=xl/sharedStrings.xml><?xml version="1.0" encoding="utf-8"?>
<sst xmlns="http://schemas.openxmlformats.org/spreadsheetml/2006/main" count="240" uniqueCount="152">
  <si>
    <t>Căn cứ xây dựng dự toán</t>
  </si>
  <si>
    <t>TT</t>
  </si>
  <si>
    <t>Hạng mục</t>
  </si>
  <si>
    <t>Chi phí 1 ha</t>
  </si>
  <si>
    <t>Ghi chú</t>
  </si>
  <si>
    <t>ĐVT</t>
  </si>
  <si>
    <t>Định
 mức</t>
  </si>
  <si>
    <t>Đơn giá (đồng)</t>
  </si>
  <si>
    <t>Thành tiền (đồng/ha)</t>
  </si>
  <si>
    <t>I</t>
  </si>
  <si>
    <t>Chi phí trực tiếp</t>
  </si>
  <si>
    <t>1.1</t>
  </si>
  <si>
    <t>Cây giống</t>
  </si>
  <si>
    <t>cây</t>
  </si>
  <si>
    <t>1.2</t>
  </si>
  <si>
    <t>Năm thứ nhất</t>
  </si>
  <si>
    <t>Năm thứ hai</t>
  </si>
  <si>
    <t>Năm thứ ba</t>
  </si>
  <si>
    <t>1.3</t>
  </si>
  <si>
    <t>Phần chi phí máy</t>
  </si>
  <si>
    <t>2.1</t>
  </si>
  <si>
    <t>Vận chuyển cây con từ vườn ươm đến nơi tập kết</t>
  </si>
  <si>
    <t>Không được vỡ bầu</t>
  </si>
  <si>
    <t>2.2</t>
  </si>
  <si>
    <t>2.4</t>
  </si>
  <si>
    <t>Công</t>
  </si>
  <si>
    <t>Trồng rừng</t>
  </si>
  <si>
    <t>Vận chuyển cây con và trồng dặm</t>
  </si>
  <si>
    <t>Bảo vệ rừng</t>
  </si>
  <si>
    <t>Năm thứ tư</t>
  </si>
  <si>
    <t>Năm thứ năm</t>
  </si>
  <si>
    <t>Dự toán đơn giá:</t>
  </si>
  <si>
    <t>Yêu cầu kỹ thuật</t>
  </si>
  <si>
    <t>Xử lý thực bì</t>
  </si>
  <si>
    <t>Phần vật tư</t>
  </si>
  <si>
    <t>Cây giống trồng chính</t>
  </si>
  <si>
    <t>Cây</t>
  </si>
  <si>
    <t>Cây giống trồng dặm năm thứ nhất</t>
  </si>
  <si>
    <t>Cây giống trồng dặm năm thứ hai</t>
  </si>
  <si>
    <t>Cây giống trồng dặm năm thứ ba</t>
  </si>
  <si>
    <t>Cọc cắm đỡ cây</t>
  </si>
  <si>
    <t>Cái</t>
  </si>
  <si>
    <t>Cây con có bầu kích thước 18x22 cm đáp ứng theo tiêu chuẩn Việt Nam (TCVN) hoặc tiêu chuẩn về cơ sở cây giống</t>
  </si>
  <si>
    <t>Cọc dài dưới 1,5m; đường kính 4 - 5 cm</t>
  </si>
  <si>
    <t>Xử lý thực bì theo yêu cầu kỹ thuật, thu dọn hiện trường</t>
  </si>
  <si>
    <t>Vận chuyển và rải cây con</t>
  </si>
  <si>
    <t>Vận chuyển cây giống tới địa điểm trồng, rải cây theo từng hố, thu dọn hiện trường sau thi công</t>
  </si>
  <si>
    <t>TR.51</t>
  </si>
  <si>
    <t>TR.56</t>
  </si>
  <si>
    <t>TR.61</t>
  </si>
  <si>
    <t>Cuốc hố, lấp hố và trồng kích thước hố 40x40x40 cm</t>
  </si>
  <si>
    <t>Cuốc hố, lấp hố và trồng theo đúng yêu cầu kỹ thuật. Thu dọn hiện trường sau khi thi công</t>
  </si>
  <si>
    <t>Cắm cọc buộc giữ cây</t>
  </si>
  <si>
    <t>TR.63</t>
  </si>
  <si>
    <t>Chuẩn bị cọc, dụng cụ, vận chuyển cọc đến địa điểm trồng, buộc giữ cây theo đúng thiết kế. Thu dọn hiện trường sau thi công</t>
  </si>
  <si>
    <t>Chăm sóc</t>
  </si>
  <si>
    <t>TR.71</t>
  </si>
  <si>
    <t>TR.66</t>
  </si>
  <si>
    <t>Kiểm tra cây chết, vận chuyển cây, trồng dặm. Thu dọn hiện trường sau thi công</t>
  </si>
  <si>
    <t>TR.72</t>
  </si>
  <si>
    <t>TR.73</t>
  </si>
  <si>
    <t>Chăm sóc năm thứ 4</t>
  </si>
  <si>
    <t>TR.74</t>
  </si>
  <si>
    <t>Kiểm tra, bảo vệ, hạn chế mọi hoạt động nuôi trồng đánh bắt thủy hải sản. Đi lại của thuyền bè,… trong khu vực trồng cây, bảo vệ chống phá hoại cây trồng</t>
  </si>
  <si>
    <t>Chăm sóc năm thứ 5</t>
  </si>
  <si>
    <t>Chăm sóc năm thứ 3</t>
  </si>
  <si>
    <t>Chăm sóc năm thứ 2</t>
  </si>
  <si>
    <t>Chăm sóc năm thứ 1</t>
  </si>
  <si>
    <t>2.1.1</t>
  </si>
  <si>
    <t>2.1.2</t>
  </si>
  <si>
    <t>Bắt Hà, cắm lại cọc, vớt bèo rác đè lên cây, buộc giữ cây theo đúng thiết kế. Thu dọn hiện trường sau khi thi công</t>
  </si>
  <si>
    <t>2.3</t>
  </si>
  <si>
    <t>2.5</t>
  </si>
  <si>
    <t>Theo đơn giá thị trường (đã bao gồm thuế VAT)</t>
  </si>
  <si>
    <t>Nhân công lao động trực tiếp</t>
  </si>
  <si>
    <t>Phụ lục 02</t>
  </si>
  <si>
    <t xml:space="preserve">DỰ TOÁN ĐƠN GIÁ TRỒNG RỪNG THAY THẾ TRÊN ĐỊA BÀN TỈNH ĐỒNG NAI ĐỐI VỚI TRỒNG RỪNG TRÊN ĐẤT NGẬP MẶN
</t>
  </si>
  <si>
    <t>Mã hiệu</t>
  </si>
  <si>
    <t>-Thông tư số 10/2021/TT-BXD ngày 25/8/2021 của Bộ Xây dựng Hướng dẫn một số điều và biện pháp thi hành Nghị định số 06/2021/NĐ-CP ngày 26 tháng 01 năm 2021 và Nghị định số 44/2016/NĐ-CP ngày 15 tháng 5 năm 2016 của Chính phủ;</t>
  </si>
  <si>
    <t>- Thông tư số 12/2021/TT-BXD ngày 31 thang 08 năm 2021 của Bộ Xây dựng Ban hành định mức xây dựng;</t>
  </si>
  <si>
    <t xml:space="preserve"> - Quyết định số 08/2024/QĐ-UBND ngày 22 tháng 01 năm 2024 của UBND tỉnh Đồng Nai ban hành đơn giá ngày công lao động trong các hoạt động lâm nghiệp trên địa bàn tỉnh Đồng Nai (sau đây gọi tắt Quyết định 08/2024/QĐ-UBND); áp dụng theo vùng I, phụ cấp khu vực 40%, phụ lục I</t>
  </si>
  <si>
    <t>a</t>
  </si>
  <si>
    <t>b</t>
  </si>
  <si>
    <t>c</t>
  </si>
  <si>
    <t>d</t>
  </si>
  <si>
    <t>- Đơn giá nhân công theo Quyết định số 08/2024/QĐ-UBND;
- Định mức theo Thông tư số 21/2023/TT-BNNPTNT</t>
  </si>
  <si>
    <t xml:space="preserve"> - Thông tư số 21/2023/TT-BNNPTNT ngày 15 tháng 12 năm 2023 của Bộ trưởng Bộ Nông nghiệp và Phát triển nông thôn Quy định một số định mức kinh tế - kỹ thuật về Lâm nghiệp (sau đay gọi tắt Thông tư số 21/2023/TT-BNNPTNT), Áp dụng Hệ số 1,0 cho điều kiện gây trồng nhóm 2, cự ly di chuyển 0,5 - 1km;</t>
  </si>
  <si>
    <t>- Đơn giá theo thị trường (bao gồm cả vận chuyển đến nơi tập kết và thuế VAT);
- Mật độ trồng theo Thông tư số 21/2023-BNNPTNT</t>
  </si>
  <si>
    <t>Giá thị trường; định mức theo TT21</t>
  </si>
  <si>
    <t>(Ban hành kèm theo Quyết định số         /2024/QĐ-UBND ngày     tháng 4 năm 2024 của Ủy ban nhân dân tỉnh Đồng Nai)</t>
  </si>
  <si>
    <t xml:space="preserve"> - Giá cả vật tư, nhân công, chi phí máy thực tế ở thời điểm hiện tại; </t>
  </si>
  <si>
    <t>Mật độ trồng: 4400 cây/ha (theo QĐ số 5365/QĐ-BNN ngày 23/12/2026 về hướng dẫn kỹ thuật trồng 6 loài cây ngập mặn, trong đó mật độ trồng từ 3300 cây/ha hoặc 4400 cây/ha hoặc 5000 cây/ha, do đó lấy mật độ chung 4400 cây/ha)</t>
  </si>
  <si>
    <t>-</t>
  </si>
  <si>
    <t>tuổi</t>
  </si>
  <si>
    <t>D</t>
  </si>
  <si>
    <t xml:space="preserve">sinh trưởng đường kính cây đước </t>
  </si>
  <si>
    <t>năm thứ 6</t>
  </si>
  <si>
    <t>2.6</t>
  </si>
  <si>
    <t>Theo biểu quá trình sinh trưởng cây đước trong sổ tay điều tra rừng toàn quốc, sinh trưởng đường kính cây đước như sau</t>
  </si>
  <si>
    <t>Từ số liệu biểu trên cho thấy cây đước có sinh trưởng đường kinh bình quân/năm đạt 0,7cm/năm</t>
  </si>
  <si>
    <t>Nhóm loài cây</t>
  </si>
  <si>
    <t xml:space="preserve">Tuổi cây </t>
  </si>
  <si>
    <t>Đường kính bình quân theo tuổi (cm)</t>
  </si>
  <si>
    <t>Làm tròn đường kính gốc (cm</t>
  </si>
  <si>
    <t>Nhóm loài cây ngập mặn</t>
  </si>
  <si>
    <t>Theo số liệu điều tra trên địa bàn tỉnh Đồng Nai đối với nhóm loài cây ngập mặn, cây đước chiếm tỷ lệ 85%, do đó sử dụng số liệu cây đước để đại diện tính toán cho nhóm cây ngập mặn</t>
  </si>
  <si>
    <t>Tăng trưởng đường kính bình quân đạt 0,7cm/năm</t>
  </si>
  <si>
    <t>Quy cỡ đường kính gốc theo tuổi cây</t>
  </si>
  <si>
    <t>&lt;2 - 4</t>
  </si>
  <si>
    <t>&lt;4 - 6</t>
  </si>
  <si>
    <t>&lt;6 - 8</t>
  </si>
  <si>
    <t>&lt;8 - 10</t>
  </si>
  <si>
    <t>&lt;10 - 12</t>
  </si>
  <si>
    <t>&lt;12 - 14</t>
  </si>
  <si>
    <t>&lt;14 - 16</t>
  </si>
  <si>
    <t>&lt;16-18</t>
  </si>
  <si>
    <t>&lt;18 - 20</t>
  </si>
  <si>
    <t xml:space="preserve">quy </t>
  </si>
  <si>
    <t>Chi phí trồng 4400 cây (01ha)</t>
  </si>
  <si>
    <t>Quy đổi ra đường kính gốc (cm</t>
  </si>
  <si>
    <t>Tuổi cây tính đơn giá bồi thường</t>
  </si>
  <si>
    <t>Nhóm cây ngập mặn</t>
  </si>
  <si>
    <t>≥2</t>
  </si>
  <si>
    <t>&gt;2 - 4</t>
  </si>
  <si>
    <t>&gt;4 - 6</t>
  </si>
  <si>
    <t>&gt; 6 - 8</t>
  </si>
  <si>
    <t>&gt; 8 - 10</t>
  </si>
  <si>
    <t>&gt; 10 - 12</t>
  </si>
  <si>
    <t>&gt; 12 - 14</t>
  </si>
  <si>
    <t>&gt; 14 - 16</t>
  </si>
  <si>
    <t>&gt; 16 - 18</t>
  </si>
  <si>
    <t>&gt; 18 - 20</t>
  </si>
  <si>
    <t>&gt; 26</t>
  </si>
  <si>
    <t>&gt; 20 - 22</t>
  </si>
  <si>
    <t>&gt; 22- 24</t>
  </si>
  <si>
    <t>&gt; 24- 26</t>
  </si>
  <si>
    <t>Tuổi</t>
  </si>
  <si>
    <t>chi phí lũy kế trồng, quản lý bảo vệ 01 cây tại thời điểm thu hồi</t>
  </si>
  <si>
    <t>Đơn giá bồi thường (đồng/cây)</t>
  </si>
  <si>
    <t>6 =( 3 + 4+ 5)</t>
  </si>
  <si>
    <t>Quy đổi đường kính theo tăng trưởng bình quân năm</t>
  </si>
  <si>
    <t xml:space="preserve"> ≤2</t>
  </si>
  <si>
    <t xml:space="preserve">&gt; 20 </t>
  </si>
  <si>
    <t>Tăng trưởng đường kính bình quân</t>
  </si>
  <si>
    <t>Làm tròn đường kính</t>
  </si>
  <si>
    <t>Chi phí trồng, quản lý bảo vệ 1 cây tại từng năm tuổi (đồng/cây)</t>
  </si>
  <si>
    <t>Giá trị môi trường của 01 cây (đồng/cây)</t>
  </si>
  <si>
    <t xml:space="preserve"> Thu nhập của 01 cây (đồng/cây)</t>
  </si>
  <si>
    <t>Đường kính thân cây (cm)</t>
  </si>
  <si>
    <t>Đơn giá bồi thường nhóm loài cây ngập mặn</t>
  </si>
  <si>
    <t>Ghi chú: Dự toán chi phí thấp hơn so với QĐ số 2714/QĐ-UBND ngày 16/9/2024 về phê duyệt đơn giá trồng rừng thay thế: do dự toán cho rừng trồng ngoài quy hoạch không sử dụng vốn nhà nước nên chỉ dự toán các chi phí trực tiếp; không dự toán chi phí quản lý, chi phí tư vấn xây dựng, chi phí khác, chi phí dự phòng</t>
  </si>
  <si>
    <r>
      <rPr>
        <b/>
        <sz val="12"/>
        <rFont val="Calibri"/>
        <family val="2"/>
      </rPr>
      <t>≤</t>
    </r>
    <r>
      <rPr>
        <b/>
        <sz val="12"/>
        <rFont val="Times New Roman"/>
        <family val="1"/>
      </rPr>
      <t xml:space="preserve"> 2</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</si>
</sst>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 _?_-;\-* #,##0.00\ _?_-;_-* &quot;-&quot;&quot;?&quot;&quot;?&quot;\ _?_-;_-@_-"/>
    <numFmt numFmtId="165" formatCode="_-* #,##0\ _?_-;\-* #,##0\ _?_-;_-* &quot;-&quot;&quot;?&quot;&quot;?&quot;\ _?_-;_-@_-"/>
    <numFmt numFmtId="166" formatCode="0.0"/>
  </numFmts>
  <fonts count="19" x14ac:knownFonts="1">
    <font>
      <sz val="12"/>
      <color theme="1"/>
      <name val="Times New Roman"/>
      <family val="2"/>
    </font>
    <font>
      <sz val="12"/>
      <name val="Times New Roman"/>
      <family val="1"/>
    </font>
    <font>
      <b/>
      <sz val="13"/>
      <name val="Times New Roman"/>
      <family val="1"/>
      <charset val="163"/>
    </font>
    <font>
      <sz val="13"/>
      <name val="Times New Roman"/>
      <family val="1"/>
      <charset val="163"/>
    </font>
    <font>
      <b/>
      <i/>
      <sz val="13"/>
      <name val="Times New Roman"/>
      <family val="1"/>
      <charset val="163"/>
    </font>
    <font>
      <i/>
      <sz val="13"/>
      <name val="Times New Roman"/>
      <family val="1"/>
      <charset val="163"/>
    </font>
    <font>
      <sz val="12"/>
      <color theme="1"/>
      <name val="Times New Roman"/>
      <family val="2"/>
    </font>
    <font>
      <sz val="13"/>
      <color theme="1"/>
      <name val="Times New Roman"/>
      <family val="1"/>
      <charset val="163"/>
    </font>
    <font>
      <b/>
      <sz val="13"/>
      <color theme="1"/>
      <name val="Times New Roman"/>
      <family val="1"/>
      <charset val="163"/>
    </font>
    <font>
      <b/>
      <i/>
      <sz val="13"/>
      <color theme="1"/>
      <name val="Times New Roman"/>
      <family val="1"/>
      <charset val="163"/>
    </font>
    <font>
      <sz val="13"/>
      <name val="Times New Roman"/>
      <family val="1"/>
    </font>
    <font>
      <sz val="13"/>
      <color theme="1"/>
      <name val="Times New Roman"/>
      <family val="1"/>
    </font>
    <font>
      <b/>
      <sz val="13"/>
      <color theme="1"/>
      <name val="Times New Roman"/>
      <family val="1"/>
    </font>
    <font>
      <b/>
      <sz val="12"/>
      <color theme="1"/>
      <name val="Times New Roman"/>
      <family val="1"/>
    </font>
    <font>
      <b/>
      <sz val="12"/>
      <color theme="1"/>
      <name val="Calibri"/>
      <family val="2"/>
    </font>
    <font>
      <sz val="12"/>
      <name val="Times New Roman"/>
      <family val="2"/>
    </font>
    <font>
      <b/>
      <sz val="12"/>
      <name val="Times New Roman"/>
      <family val="2"/>
    </font>
    <font>
      <b/>
      <sz val="12"/>
      <name val="Times New Roman"/>
      <family val="1"/>
    </font>
    <font>
      <b/>
      <sz val="12"/>
      <name val="Calibri"/>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164" fontId="6" fillId="0" borderId="0" applyFont="0" applyFill="0" applyBorder="0" applyAlignment="0" applyProtection="0"/>
    <xf numFmtId="0" fontId="1" fillId="0" borderId="0"/>
  </cellStyleXfs>
  <cellXfs count="141">
    <xf numFmtId="0" fontId="0" fillId="0" borderId="0" xfId="0"/>
    <xf numFmtId="0" fontId="2" fillId="0" borderId="0" xfId="2" applyFont="1" applyFill="1" applyBorder="1" applyAlignment="1">
      <alignment horizontal="center" vertical="center" wrapText="1"/>
    </xf>
    <xf numFmtId="164" fontId="2" fillId="0" borderId="0" xfId="1" applyFont="1" applyFill="1" applyBorder="1" applyAlignment="1">
      <alignment horizontal="center" vertical="center" wrapText="1"/>
    </xf>
    <xf numFmtId="3" fontId="2" fillId="0" borderId="0" xfId="2" applyNumberFormat="1" applyFont="1" applyFill="1" applyBorder="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2" fillId="0" borderId="0" xfId="2" applyFont="1" applyFill="1" applyBorder="1" applyAlignment="1">
      <alignment vertical="center" wrapText="1"/>
    </xf>
    <xf numFmtId="164" fontId="2" fillId="0" borderId="0" xfId="1" applyFont="1" applyFill="1" applyAlignment="1">
      <alignment horizontal="left" vertical="center" wrapText="1"/>
    </xf>
    <xf numFmtId="3" fontId="2" fillId="0" borderId="0" xfId="0" applyNumberFormat="1" applyFont="1" applyFill="1" applyAlignment="1">
      <alignment horizontal="left" vertical="center" wrapText="1"/>
    </xf>
    <xf numFmtId="0" fontId="2" fillId="0" borderId="1" xfId="2" applyFont="1" applyFill="1" applyBorder="1" applyAlignment="1">
      <alignment horizontal="center" vertical="center" wrapText="1"/>
    </xf>
    <xf numFmtId="0" fontId="2" fillId="0" borderId="1" xfId="0" applyFont="1" applyFill="1" applyBorder="1" applyAlignment="1">
      <alignment horizontal="center" vertical="center" wrapText="1"/>
    </xf>
    <xf numFmtId="164" fontId="2" fillId="0" borderId="1" xfId="1" applyFont="1" applyFill="1" applyBorder="1" applyAlignment="1">
      <alignment horizontal="center" vertical="center" wrapText="1"/>
    </xf>
    <xf numFmtId="3" fontId="2" fillId="0" borderId="1" xfId="2" applyNumberFormat="1" applyFont="1" applyFill="1" applyBorder="1" applyAlignment="1">
      <alignment horizontal="center" vertical="center" wrapText="1"/>
    </xf>
    <xf numFmtId="0" fontId="2" fillId="0" borderId="1" xfId="2" applyFont="1" applyFill="1" applyBorder="1" applyAlignment="1">
      <alignment horizontal="left" vertical="center" wrapText="1"/>
    </xf>
    <xf numFmtId="3" fontId="2" fillId="0" borderId="1" xfId="2" applyNumberFormat="1" applyFont="1" applyFill="1" applyBorder="1" applyAlignment="1">
      <alignment horizontal="right" vertical="center" wrapText="1"/>
    </xf>
    <xf numFmtId="0" fontId="3" fillId="0" borderId="1" xfId="2" applyFont="1" applyFill="1" applyBorder="1" applyAlignment="1">
      <alignment horizontal="center" vertical="center" wrapText="1"/>
    </xf>
    <xf numFmtId="0" fontId="3" fillId="0" borderId="1" xfId="2" applyFont="1" applyFill="1" applyBorder="1" applyAlignment="1">
      <alignment horizontal="left" vertical="center" wrapText="1"/>
    </xf>
    <xf numFmtId="3" fontId="3" fillId="0" borderId="1" xfId="2" applyNumberFormat="1" applyFont="1" applyFill="1" applyBorder="1" applyAlignment="1">
      <alignment horizontal="right" vertical="center" wrapText="1"/>
    </xf>
    <xf numFmtId="3" fontId="3" fillId="0" borderId="1" xfId="1" applyNumberFormat="1" applyFont="1" applyFill="1" applyBorder="1" applyAlignment="1">
      <alignment horizontal="right" vertical="center" wrapText="1"/>
    </xf>
    <xf numFmtId="3" fontId="3" fillId="0" borderId="1" xfId="2"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0" xfId="0" applyFont="1"/>
    <xf numFmtId="0" fontId="8" fillId="0" borderId="0" xfId="0" applyFont="1"/>
    <xf numFmtId="0" fontId="3" fillId="0" borderId="0" xfId="2" applyFont="1" applyFill="1" applyBorder="1" applyAlignment="1"/>
    <xf numFmtId="164" fontId="3" fillId="0" borderId="0" xfId="1" applyFont="1" applyFill="1" applyAlignment="1">
      <alignment horizontal="center" vertical="center" wrapText="1"/>
    </xf>
    <xf numFmtId="3" fontId="3" fillId="0" borderId="0" xfId="0" applyNumberFormat="1" applyFont="1" applyFill="1" applyAlignment="1">
      <alignment horizontal="left" vertical="center" wrapText="1"/>
    </xf>
    <xf numFmtId="0" fontId="8" fillId="0" borderId="1" xfId="0" applyFont="1" applyBorder="1" applyAlignment="1">
      <alignment horizontal="center"/>
    </xf>
    <xf numFmtId="0" fontId="8" fillId="0" borderId="1" xfId="0" applyFont="1" applyBorder="1"/>
    <xf numFmtId="3" fontId="8" fillId="0" borderId="1" xfId="0" applyNumberFormat="1" applyFont="1" applyBorder="1"/>
    <xf numFmtId="0" fontId="7" fillId="0" borderId="1" xfId="0" applyFont="1" applyBorder="1" applyAlignment="1">
      <alignment horizontal="center"/>
    </xf>
    <xf numFmtId="0" fontId="7" fillId="0" borderId="1" xfId="0" applyFont="1" applyBorder="1"/>
    <xf numFmtId="3" fontId="7" fillId="0" borderId="1" xfId="0" applyNumberFormat="1" applyFont="1" applyBorder="1"/>
    <xf numFmtId="0" fontId="7" fillId="0" borderId="1" xfId="0" applyFont="1" applyFill="1" applyBorder="1"/>
    <xf numFmtId="0" fontId="8" fillId="0" borderId="1" xfId="0" applyFont="1" applyFill="1" applyBorder="1" applyAlignment="1">
      <alignment horizontal="center"/>
    </xf>
    <xf numFmtId="0" fontId="8" fillId="0" borderId="1" xfId="0" applyFont="1" applyFill="1" applyBorder="1"/>
    <xf numFmtId="4" fontId="8" fillId="0" borderId="1" xfId="0" applyNumberFormat="1" applyFont="1" applyBorder="1"/>
    <xf numFmtId="4" fontId="7" fillId="0" borderId="1" xfId="0" applyNumberFormat="1" applyFont="1" applyBorder="1"/>
    <xf numFmtId="3" fontId="3" fillId="0" borderId="1" xfId="2" applyNumberFormat="1" applyFont="1" applyFill="1" applyBorder="1" applyAlignment="1">
      <alignment horizontal="left" vertical="center" wrapText="1"/>
    </xf>
    <xf numFmtId="4" fontId="3" fillId="0" borderId="1" xfId="2" applyNumberFormat="1" applyFont="1" applyFill="1" applyBorder="1" applyAlignment="1">
      <alignment horizontal="right" vertical="center" wrapText="1"/>
    </xf>
    <xf numFmtId="0" fontId="7" fillId="0" borderId="1" xfId="0" applyFont="1" applyBorder="1" applyAlignment="1">
      <alignment vertical="center" wrapText="1"/>
    </xf>
    <xf numFmtId="0" fontId="7" fillId="0" borderId="1" xfId="0" quotePrefix="1" applyFont="1" applyBorder="1"/>
    <xf numFmtId="0" fontId="9" fillId="0" borderId="1" xfId="0" applyFont="1" applyBorder="1" applyAlignment="1">
      <alignment horizontal="center"/>
    </xf>
    <xf numFmtId="0" fontId="9" fillId="0" borderId="1" xfId="0" applyFont="1" applyFill="1" applyBorder="1"/>
    <xf numFmtId="4" fontId="9" fillId="0" borderId="1" xfId="0" applyNumberFormat="1" applyFont="1" applyBorder="1"/>
    <xf numFmtId="0" fontId="9" fillId="0" borderId="1" xfId="0" applyFont="1" applyBorder="1"/>
    <xf numFmtId="3" fontId="9" fillId="0" borderId="1" xfId="0" applyNumberFormat="1" applyFont="1" applyBorder="1"/>
    <xf numFmtId="0" fontId="9" fillId="0" borderId="0" xfId="0" applyFont="1"/>
    <xf numFmtId="3" fontId="3" fillId="0" borderId="1" xfId="2" applyNumberFormat="1" applyFont="1" applyFill="1" applyBorder="1" applyAlignment="1">
      <alignment horizontal="center" vertical="center" wrapText="1"/>
    </xf>
    <xf numFmtId="3" fontId="7" fillId="0" borderId="0" xfId="0" applyNumberFormat="1" applyFont="1"/>
    <xf numFmtId="165" fontId="7" fillId="0" borderId="0" xfId="1" applyNumberFormat="1" applyFont="1" applyAlignment="1">
      <alignment vertical="center"/>
    </xf>
    <xf numFmtId="0" fontId="10" fillId="0" borderId="1" xfId="2" applyFont="1" applyFill="1" applyBorder="1" applyAlignment="1">
      <alignment horizontal="center" vertical="center" wrapText="1"/>
    </xf>
    <xf numFmtId="0" fontId="10" fillId="0" borderId="1" xfId="2" applyFont="1" applyFill="1" applyBorder="1" applyAlignment="1">
      <alignment horizontal="left" vertical="center" wrapText="1"/>
    </xf>
    <xf numFmtId="4" fontId="10" fillId="0" borderId="1" xfId="1" applyNumberFormat="1" applyFont="1" applyFill="1" applyBorder="1" applyAlignment="1">
      <alignment horizontal="right" vertical="center" wrapText="1"/>
    </xf>
    <xf numFmtId="3" fontId="10" fillId="0" borderId="1" xfId="2" applyNumberFormat="1" applyFont="1" applyFill="1" applyBorder="1" applyAlignment="1">
      <alignment horizontal="right" vertical="center" wrapText="1"/>
    </xf>
    <xf numFmtId="3" fontId="10" fillId="0" borderId="1" xfId="2"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0" xfId="0" applyFont="1"/>
    <xf numFmtId="0" fontId="3" fillId="0" borderId="1" xfId="2" quotePrefix="1"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xf numFmtId="166" fontId="0" fillId="0" borderId="1" xfId="0" applyNumberForma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1" fontId="13" fillId="0" borderId="1" xfId="0" applyNumberFormat="1" applyFont="1" applyBorder="1" applyAlignment="1">
      <alignment horizontal="center" vertical="center"/>
    </xf>
    <xf numFmtId="0" fontId="0" fillId="0" borderId="1" xfId="0" applyBorder="1" applyAlignment="1">
      <alignment horizontal="center"/>
    </xf>
    <xf numFmtId="165" fontId="13" fillId="0" borderId="1" xfId="1" applyNumberFormat="1" applyFont="1" applyBorder="1" applyAlignment="1">
      <alignment horizontal="center" vertical="center" wrapText="1"/>
    </xf>
    <xf numFmtId="3" fontId="0" fillId="0" borderId="1" xfId="0" applyNumberFormat="1" applyBorder="1"/>
    <xf numFmtId="2" fontId="13" fillId="0" borderId="1" xfId="0" applyNumberFormat="1" applyFont="1" applyBorder="1" applyAlignment="1">
      <alignment horizontal="center" vertical="center" wrapText="1"/>
    </xf>
    <xf numFmtId="1" fontId="13" fillId="0" borderId="1" xfId="0" applyNumberFormat="1" applyFont="1" applyBorder="1" applyAlignment="1">
      <alignment horizontal="center" vertical="center" wrapText="1"/>
    </xf>
    <xf numFmtId="165" fontId="0" fillId="0" borderId="1" xfId="1" applyNumberFormat="1" applyFont="1" applyBorder="1" applyAlignment="1">
      <alignment horizontal="center" vertical="center"/>
    </xf>
    <xf numFmtId="2" fontId="13" fillId="0" borderId="1" xfId="0" quotePrefix="1" applyNumberFormat="1" applyFont="1" applyBorder="1" applyAlignment="1">
      <alignment horizontal="center" vertical="center" wrapText="1"/>
    </xf>
    <xf numFmtId="2" fontId="14" fillId="0" borderId="1" xfId="0" applyNumberFormat="1" applyFont="1" applyBorder="1" applyAlignment="1">
      <alignment horizontal="center" vertical="center" wrapText="1"/>
    </xf>
    <xf numFmtId="1" fontId="13" fillId="0" borderId="1" xfId="0" applyNumberFormat="1" applyFont="1" applyFill="1" applyBorder="1" applyAlignment="1">
      <alignment horizontal="center" vertical="center" wrapText="1"/>
    </xf>
    <xf numFmtId="165" fontId="0" fillId="0" borderId="1" xfId="1" applyNumberFormat="1" applyFont="1" applyBorder="1"/>
    <xf numFmtId="0" fontId="12" fillId="2" borderId="1" xfId="0" applyFont="1" applyFill="1" applyBorder="1"/>
    <xf numFmtId="3" fontId="12" fillId="2" borderId="1" xfId="0" applyNumberFormat="1" applyFont="1" applyFill="1" applyBorder="1"/>
    <xf numFmtId="0" fontId="12" fillId="2" borderId="0" xfId="0" applyFont="1" applyFill="1"/>
    <xf numFmtId="0" fontId="4" fillId="2" borderId="1" xfId="0" applyFont="1" applyFill="1" applyBorder="1" applyAlignment="1">
      <alignment horizontal="center"/>
    </xf>
    <xf numFmtId="3" fontId="4" fillId="2" borderId="1" xfId="2" applyNumberFormat="1" applyFont="1" applyFill="1" applyBorder="1" applyAlignment="1">
      <alignment horizontal="left" vertical="center" wrapText="1"/>
    </xf>
    <xf numFmtId="4" fontId="4" fillId="2" borderId="1" xfId="0" applyNumberFormat="1" applyFont="1" applyFill="1" applyBorder="1"/>
    <xf numFmtId="3" fontId="5" fillId="2" borderId="1" xfId="2" applyNumberFormat="1" applyFont="1" applyFill="1" applyBorder="1" applyAlignment="1">
      <alignment horizontal="right" vertical="center" wrapText="1"/>
    </xf>
    <xf numFmtId="3" fontId="4" fillId="2" borderId="1" xfId="0" applyNumberFormat="1" applyFont="1" applyFill="1" applyBorder="1"/>
    <xf numFmtId="0" fontId="4" fillId="2" borderId="1" xfId="0" applyFont="1" applyFill="1" applyBorder="1"/>
    <xf numFmtId="0" fontId="4" fillId="2" borderId="0" xfId="0" applyFont="1" applyFill="1"/>
    <xf numFmtId="0" fontId="9" fillId="2" borderId="1" xfId="0" applyFont="1" applyFill="1" applyBorder="1" applyAlignment="1">
      <alignment horizontal="center"/>
    </xf>
    <xf numFmtId="4" fontId="9" fillId="2" borderId="1" xfId="0" applyNumberFormat="1" applyFont="1" applyFill="1" applyBorder="1"/>
    <xf numFmtId="3" fontId="9" fillId="2" borderId="1" xfId="0" applyNumberFormat="1" applyFont="1" applyFill="1" applyBorder="1"/>
    <xf numFmtId="0" fontId="9" fillId="2" borderId="1" xfId="0" applyFont="1" applyFill="1" applyBorder="1"/>
    <xf numFmtId="0" fontId="9" fillId="2" borderId="0" xfId="0" applyFont="1" applyFill="1"/>
    <xf numFmtId="3" fontId="4" fillId="2" borderId="1" xfId="2" applyNumberFormat="1" applyFont="1" applyFill="1" applyBorder="1" applyAlignment="1">
      <alignment horizontal="center" vertical="center" wrapText="1"/>
    </xf>
    <xf numFmtId="4" fontId="4" fillId="2" borderId="1" xfId="2" applyNumberFormat="1" applyFont="1" applyFill="1" applyBorder="1" applyAlignment="1">
      <alignment horizontal="right" vertical="center" wrapText="1"/>
    </xf>
    <xf numFmtId="3" fontId="4" fillId="2" borderId="1" xfId="2" applyNumberFormat="1" applyFont="1" applyFill="1" applyBorder="1" applyAlignment="1">
      <alignment horizontal="right" vertical="center" wrapText="1"/>
    </xf>
    <xf numFmtId="0" fontId="4" fillId="2" borderId="1" xfId="0" applyFont="1" applyFill="1" applyBorder="1" applyAlignment="1">
      <alignment vertical="center" wrapText="1"/>
    </xf>
    <xf numFmtId="0" fontId="9" fillId="2" borderId="1" xfId="0" applyFont="1" applyFill="1" applyBorder="1" applyAlignment="1">
      <alignment vertical="center" wrapText="1"/>
    </xf>
    <xf numFmtId="0" fontId="13" fillId="0" borderId="1" xfId="0" applyFont="1" applyBorder="1" applyAlignment="1">
      <alignment horizontal="center" vertical="center" wrapText="1"/>
    </xf>
    <xf numFmtId="165" fontId="0" fillId="0" borderId="1" xfId="1" applyNumberFormat="1" applyFont="1" applyBorder="1" applyAlignment="1">
      <alignment vertical="center"/>
    </xf>
    <xf numFmtId="165" fontId="0" fillId="0" borderId="1" xfId="0" applyNumberFormat="1" applyBorder="1"/>
    <xf numFmtId="165" fontId="0" fillId="0" borderId="0" xfId="1" applyNumberFormat="1" applyFont="1"/>
    <xf numFmtId="0" fontId="0" fillId="0" borderId="1" xfId="0" applyBorder="1" applyAlignment="1">
      <alignment horizontal="center" vertical="center" wrapText="1"/>
    </xf>
    <xf numFmtId="0" fontId="15" fillId="0" borderId="0" xfId="0" applyFont="1"/>
    <xf numFmtId="0" fontId="16" fillId="0" borderId="1" xfId="0" applyFont="1" applyBorder="1" applyAlignment="1">
      <alignment horizontal="center" vertical="center" wrapText="1"/>
    </xf>
    <xf numFmtId="165" fontId="15" fillId="0" borderId="1" xfId="0" applyNumberFormat="1" applyFont="1" applyBorder="1"/>
    <xf numFmtId="0" fontId="13" fillId="0" borderId="1" xfId="0" applyFont="1" applyBorder="1" applyAlignment="1">
      <alignment horizontal="center" vertical="center" wrapText="1"/>
    </xf>
    <xf numFmtId="0" fontId="3" fillId="0" borderId="0" xfId="0" applyFont="1" applyFill="1" applyAlignment="1">
      <alignment horizontal="left" vertical="center" wrapText="1"/>
    </xf>
    <xf numFmtId="0" fontId="7" fillId="0" borderId="1" xfId="0" applyFont="1" applyBorder="1" applyAlignment="1">
      <alignment horizontal="center" vertical="center" wrapText="1"/>
    </xf>
    <xf numFmtId="0" fontId="7" fillId="0" borderId="1" xfId="0" quotePrefix="1" applyFont="1" applyBorder="1" applyAlignment="1">
      <alignment horizontal="center" vertical="center" wrapText="1"/>
    </xf>
    <xf numFmtId="0" fontId="3" fillId="0" borderId="0" xfId="0" quotePrefix="1" applyFont="1" applyFill="1" applyAlignment="1">
      <alignment horizontal="left" vertical="center" wrapText="1"/>
    </xf>
    <xf numFmtId="0" fontId="2" fillId="0" borderId="1" xfId="0" applyFont="1" applyFill="1" applyBorder="1" applyAlignment="1">
      <alignment horizontal="center" vertical="center" wrapText="1"/>
    </xf>
    <xf numFmtId="0" fontId="2" fillId="0" borderId="1" xfId="2" applyFont="1" applyFill="1" applyBorder="1" applyAlignment="1">
      <alignment horizontal="center" vertical="center" wrapText="1"/>
    </xf>
    <xf numFmtId="0" fontId="7" fillId="0" borderId="2" xfId="0" quotePrefix="1"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1" xfId="0" quotePrefix="1" applyFont="1" applyBorder="1" applyAlignment="1">
      <alignment horizontal="left" vertical="center" wrapText="1"/>
    </xf>
    <xf numFmtId="0" fontId="7" fillId="0" borderId="1" xfId="0" applyFont="1" applyBorder="1" applyAlignment="1">
      <alignment horizontal="left" vertical="center" wrapText="1"/>
    </xf>
    <xf numFmtId="0" fontId="4" fillId="0" borderId="0" xfId="0" applyFont="1" applyAlignment="1">
      <alignment horizontal="center" vertical="center" wrapText="1"/>
    </xf>
    <xf numFmtId="0" fontId="8" fillId="0" borderId="0" xfId="0" applyFont="1" applyAlignment="1">
      <alignment horizontal="center"/>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 xfId="0" applyFont="1" applyFill="1" applyBorder="1" applyAlignment="1">
      <alignment horizontal="center" vertical="center" wrapText="1"/>
    </xf>
    <xf numFmtId="0" fontId="15" fillId="0" borderId="1" xfId="0" applyFont="1" applyBorder="1" applyAlignment="1">
      <alignment horizontal="center" vertical="center"/>
    </xf>
    <xf numFmtId="0" fontId="3" fillId="0" borderId="0" xfId="0" applyFont="1" applyFill="1" applyAlignment="1">
      <alignment horizontal="center" vertical="center" wrapText="1"/>
    </xf>
    <xf numFmtId="1" fontId="17" fillId="0" borderId="1" xfId="0" applyNumberFormat="1" applyFont="1" applyBorder="1" applyAlignment="1">
      <alignment horizontal="center" vertical="center"/>
    </xf>
    <xf numFmtId="0" fontId="15" fillId="0" borderId="1" xfId="0" applyFont="1" applyBorder="1" applyAlignment="1">
      <alignment horizontal="center"/>
    </xf>
    <xf numFmtId="165" fontId="17" fillId="0" borderId="1" xfId="1" applyNumberFormat="1" applyFont="1" applyBorder="1" applyAlignment="1">
      <alignment vertical="center" wrapText="1"/>
    </xf>
    <xf numFmtId="165" fontId="17" fillId="0" borderId="1" xfId="1" applyNumberFormat="1" applyFont="1" applyBorder="1" applyAlignment="1">
      <alignment horizontal="center" vertical="center" wrapText="1"/>
    </xf>
    <xf numFmtId="0" fontId="17" fillId="0" borderId="1" xfId="0" applyFont="1" applyBorder="1" applyAlignment="1">
      <alignment horizontal="center" vertical="center" wrapText="1"/>
    </xf>
    <xf numFmtId="165" fontId="17" fillId="0" borderId="1" xfId="1" quotePrefix="1" applyNumberFormat="1" applyFont="1" applyBorder="1" applyAlignment="1">
      <alignment vertical="center" wrapText="1"/>
    </xf>
    <xf numFmtId="165" fontId="17" fillId="0" borderId="1" xfId="1" quotePrefix="1" applyNumberFormat="1" applyFont="1" applyBorder="1" applyAlignment="1">
      <alignment horizontal="center" vertical="center" wrapText="1"/>
    </xf>
    <xf numFmtId="1" fontId="17" fillId="2" borderId="1" xfId="0" applyNumberFormat="1" applyFont="1" applyFill="1" applyBorder="1" applyAlignment="1">
      <alignment horizontal="center" vertical="center"/>
    </xf>
    <xf numFmtId="0" fontId="15" fillId="2" borderId="1" xfId="0" applyFont="1" applyFill="1" applyBorder="1" applyAlignment="1">
      <alignment horizontal="center"/>
    </xf>
    <xf numFmtId="165" fontId="17" fillId="2" borderId="1" xfId="1" applyNumberFormat="1" applyFont="1" applyFill="1" applyBorder="1" applyAlignment="1">
      <alignment vertical="center" wrapText="1"/>
    </xf>
    <xf numFmtId="165" fontId="17" fillId="2" borderId="1" xfId="1" applyNumberFormat="1" applyFont="1" applyFill="1" applyBorder="1" applyAlignment="1">
      <alignment horizontal="center" vertical="center" wrapText="1"/>
    </xf>
    <xf numFmtId="0" fontId="1" fillId="0" borderId="1" xfId="0" applyFont="1" applyBorder="1" applyAlignment="1">
      <alignment horizontal="center"/>
    </xf>
    <xf numFmtId="0" fontId="15" fillId="0" borderId="1" xfId="0" applyFont="1" applyBorder="1"/>
    <xf numFmtId="0" fontId="1" fillId="0" borderId="1" xfId="0" applyFont="1" applyBorder="1"/>
    <xf numFmtId="0" fontId="13" fillId="0" borderId="0" xfId="0" applyFont="1"/>
  </cellXfs>
  <cellStyles count="3">
    <cellStyle name="Comma"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topLeftCell="A49" workbookViewId="0">
      <selection activeCell="L63" sqref="L63"/>
    </sheetView>
  </sheetViews>
  <sheetFormatPr defaultRowHeight="16.5" x14ac:dyDescent="0.25"/>
  <cols>
    <col min="1" max="1" width="6.5" style="22" bestFit="1" customWidth="1"/>
    <col min="2" max="2" width="6.5" style="22" customWidth="1"/>
    <col min="3" max="3" width="29.125" style="22" customWidth="1"/>
    <col min="4" max="4" width="6" style="22" bestFit="1" customWidth="1"/>
    <col min="5" max="5" width="8.125" style="22" bestFit="1" customWidth="1"/>
    <col min="6" max="6" width="8.375" style="22" bestFit="1" customWidth="1"/>
    <col min="7" max="7" width="13.375" style="22" bestFit="1" customWidth="1"/>
    <col min="8" max="8" width="29.875" style="22" customWidth="1"/>
    <col min="9" max="9" width="31.375" style="22" customWidth="1"/>
    <col min="10" max="11" width="9" style="22"/>
    <col min="12" max="12" width="14.25" style="22" customWidth="1"/>
    <col min="13" max="13" width="12.875" style="22" bestFit="1" customWidth="1"/>
    <col min="14" max="16384" width="9" style="22"/>
  </cols>
  <sheetData>
    <row r="1" spans="1:11" x14ac:dyDescent="0.25">
      <c r="A1" s="118" t="s">
        <v>75</v>
      </c>
      <c r="B1" s="118"/>
      <c r="C1" s="118"/>
      <c r="D1" s="118"/>
      <c r="E1" s="118"/>
      <c r="F1" s="118"/>
      <c r="G1" s="118"/>
      <c r="H1" s="118"/>
      <c r="I1" s="118"/>
    </row>
    <row r="2" spans="1:11" x14ac:dyDescent="0.25">
      <c r="A2" s="118" t="s">
        <v>76</v>
      </c>
      <c r="B2" s="118"/>
      <c r="C2" s="118"/>
      <c r="D2" s="118"/>
      <c r="E2" s="118"/>
      <c r="F2" s="118"/>
      <c r="G2" s="118"/>
      <c r="H2" s="118"/>
      <c r="I2" s="118"/>
    </row>
    <row r="3" spans="1:11" ht="17.25" x14ac:dyDescent="0.25">
      <c r="A3" s="117" t="s">
        <v>89</v>
      </c>
      <c r="B3" s="117"/>
      <c r="C3" s="117"/>
      <c r="D3" s="117"/>
      <c r="E3" s="117"/>
      <c r="F3" s="117"/>
      <c r="G3" s="117"/>
      <c r="H3" s="117"/>
      <c r="I3" s="117"/>
    </row>
    <row r="5" spans="1:11" s="23" customFormat="1" x14ac:dyDescent="0.25">
      <c r="A5" s="23">
        <v>1</v>
      </c>
      <c r="B5" s="23" t="s">
        <v>0</v>
      </c>
      <c r="D5" s="1"/>
      <c r="E5" s="2"/>
      <c r="F5" s="3"/>
      <c r="G5" s="3"/>
      <c r="H5" s="3"/>
      <c r="I5" s="4"/>
    </row>
    <row r="6" spans="1:11" ht="41.25" customHeight="1" x14ac:dyDescent="0.25">
      <c r="A6" s="5"/>
      <c r="B6" s="106" t="s">
        <v>86</v>
      </c>
      <c r="C6" s="106"/>
      <c r="D6" s="106"/>
      <c r="E6" s="106"/>
      <c r="F6" s="106"/>
      <c r="G6" s="106"/>
      <c r="H6" s="106"/>
      <c r="I6" s="106"/>
    </row>
    <row r="7" spans="1:11" ht="41.25" customHeight="1" x14ac:dyDescent="0.25">
      <c r="A7" s="5"/>
      <c r="B7" s="109" t="s">
        <v>78</v>
      </c>
      <c r="C7" s="106"/>
      <c r="D7" s="106"/>
      <c r="E7" s="106"/>
      <c r="F7" s="106"/>
      <c r="G7" s="106"/>
      <c r="H7" s="106"/>
      <c r="I7" s="106"/>
    </row>
    <row r="8" spans="1:11" x14ac:dyDescent="0.25">
      <c r="A8" s="5"/>
      <c r="B8" s="109" t="s">
        <v>79</v>
      </c>
      <c r="C8" s="106"/>
      <c r="D8" s="106"/>
      <c r="E8" s="106"/>
      <c r="F8" s="106"/>
      <c r="G8" s="106"/>
      <c r="H8" s="106"/>
      <c r="I8" s="106"/>
      <c r="J8" s="106"/>
      <c r="K8" s="106"/>
    </row>
    <row r="9" spans="1:11" ht="36" customHeight="1" x14ac:dyDescent="0.25">
      <c r="A9" s="5"/>
      <c r="B9" s="106" t="s">
        <v>80</v>
      </c>
      <c r="C9" s="106"/>
      <c r="D9" s="106"/>
      <c r="E9" s="106"/>
      <c r="F9" s="106"/>
      <c r="G9" s="106"/>
      <c r="H9" s="106"/>
      <c r="I9" s="106"/>
    </row>
    <row r="10" spans="1:11" ht="19.5" customHeight="1" x14ac:dyDescent="0.25">
      <c r="A10" s="5"/>
      <c r="B10" s="106" t="s">
        <v>90</v>
      </c>
      <c r="C10" s="106"/>
      <c r="D10" s="106"/>
      <c r="E10" s="106"/>
      <c r="F10" s="106"/>
      <c r="G10" s="106"/>
      <c r="H10" s="106"/>
      <c r="I10" s="106"/>
    </row>
    <row r="11" spans="1:11" ht="37.5" customHeight="1" x14ac:dyDescent="0.25">
      <c r="A11" s="5"/>
      <c r="B11" s="106" t="s">
        <v>91</v>
      </c>
      <c r="C11" s="106"/>
      <c r="D11" s="106"/>
      <c r="E11" s="106"/>
      <c r="F11" s="106"/>
      <c r="G11" s="106"/>
      <c r="H11" s="106"/>
      <c r="I11" s="106"/>
    </row>
    <row r="12" spans="1:11" s="23" customFormat="1" x14ac:dyDescent="0.25">
      <c r="A12" s="23">
        <v>2</v>
      </c>
      <c r="B12" s="23" t="s">
        <v>31</v>
      </c>
      <c r="D12" s="7"/>
      <c r="E12" s="8"/>
      <c r="F12" s="9"/>
      <c r="G12" s="9"/>
      <c r="H12" s="9"/>
      <c r="I12" s="4"/>
    </row>
    <row r="13" spans="1:11" x14ac:dyDescent="0.25">
      <c r="A13" s="5"/>
      <c r="B13" s="5"/>
      <c r="C13" s="24"/>
      <c r="D13" s="24"/>
      <c r="E13" s="25"/>
      <c r="F13" s="26"/>
      <c r="G13" s="26"/>
      <c r="H13" s="26"/>
      <c r="I13" s="6"/>
    </row>
    <row r="14" spans="1:11" x14ac:dyDescent="0.25">
      <c r="A14" s="111" t="s">
        <v>1</v>
      </c>
      <c r="B14" s="111" t="s">
        <v>77</v>
      </c>
      <c r="C14" s="111" t="s">
        <v>2</v>
      </c>
      <c r="D14" s="111" t="s">
        <v>3</v>
      </c>
      <c r="E14" s="111"/>
      <c r="F14" s="111"/>
      <c r="G14" s="111"/>
      <c r="H14" s="110" t="s">
        <v>32</v>
      </c>
      <c r="I14" s="110" t="s">
        <v>4</v>
      </c>
    </row>
    <row r="15" spans="1:11" ht="33" x14ac:dyDescent="0.25">
      <c r="A15" s="111"/>
      <c r="B15" s="111"/>
      <c r="C15" s="111"/>
      <c r="D15" s="10" t="s">
        <v>5</v>
      </c>
      <c r="E15" s="12" t="s">
        <v>6</v>
      </c>
      <c r="F15" s="13" t="s">
        <v>7</v>
      </c>
      <c r="G15" s="13" t="s">
        <v>8</v>
      </c>
      <c r="H15" s="110"/>
      <c r="I15" s="110"/>
    </row>
    <row r="16" spans="1:11" x14ac:dyDescent="0.25">
      <c r="A16" s="10" t="s">
        <v>9</v>
      </c>
      <c r="B16" s="10"/>
      <c r="C16" s="14" t="s">
        <v>10</v>
      </c>
      <c r="D16" s="10"/>
      <c r="E16" s="12"/>
      <c r="F16" s="13"/>
      <c r="G16" s="15">
        <f>G17+G26</f>
        <v>246331594.61440003</v>
      </c>
      <c r="H16" s="11"/>
      <c r="I16" s="11"/>
    </row>
    <row r="17" spans="1:13" s="23" customFormat="1" x14ac:dyDescent="0.25">
      <c r="A17" s="27">
        <v>1</v>
      </c>
      <c r="B17" s="27"/>
      <c r="C17" s="28" t="s">
        <v>34</v>
      </c>
      <c r="D17" s="28"/>
      <c r="E17" s="29"/>
      <c r="F17" s="28"/>
      <c r="G17" s="29">
        <f>G18+G23+G24</f>
        <v>145200000</v>
      </c>
      <c r="H17" s="28"/>
      <c r="I17" s="28"/>
    </row>
    <row r="18" spans="1:13" x14ac:dyDescent="0.25">
      <c r="A18" s="30" t="s">
        <v>11</v>
      </c>
      <c r="B18" s="30"/>
      <c r="C18" s="31" t="s">
        <v>12</v>
      </c>
      <c r="D18" s="31"/>
      <c r="E18" s="31"/>
      <c r="F18" s="31"/>
      <c r="G18" s="32">
        <f>SUM(G19:G22)</f>
        <v>118800000</v>
      </c>
      <c r="H18" s="31"/>
      <c r="I18" s="31"/>
    </row>
    <row r="19" spans="1:13" x14ac:dyDescent="0.25">
      <c r="A19" s="30" t="s">
        <v>81</v>
      </c>
      <c r="B19" s="30"/>
      <c r="C19" s="31" t="s">
        <v>35</v>
      </c>
      <c r="D19" s="30" t="s">
        <v>36</v>
      </c>
      <c r="E19" s="32">
        <v>4400</v>
      </c>
      <c r="F19" s="32">
        <v>20000</v>
      </c>
      <c r="G19" s="32">
        <f>ROUND(F19*E19,0)</f>
        <v>88000000</v>
      </c>
      <c r="H19" s="107" t="s">
        <v>42</v>
      </c>
      <c r="I19" s="108" t="s">
        <v>87</v>
      </c>
    </row>
    <row r="20" spans="1:13" x14ac:dyDescent="0.25">
      <c r="A20" s="30" t="s">
        <v>82</v>
      </c>
      <c r="B20" s="30"/>
      <c r="C20" s="31" t="s">
        <v>37</v>
      </c>
      <c r="D20" s="30" t="s">
        <v>36</v>
      </c>
      <c r="E20" s="32">
        <f>E19*15%</f>
        <v>660</v>
      </c>
      <c r="F20" s="32">
        <v>20000</v>
      </c>
      <c r="G20" s="32">
        <f>F20*E20</f>
        <v>13200000</v>
      </c>
      <c r="H20" s="107"/>
      <c r="I20" s="107"/>
    </row>
    <row r="21" spans="1:13" x14ac:dyDescent="0.25">
      <c r="A21" s="30" t="s">
        <v>83</v>
      </c>
      <c r="B21" s="30"/>
      <c r="C21" s="31" t="s">
        <v>38</v>
      </c>
      <c r="D21" s="30" t="s">
        <v>36</v>
      </c>
      <c r="E21" s="32">
        <f>E19*10%</f>
        <v>440</v>
      </c>
      <c r="F21" s="32">
        <v>20000</v>
      </c>
      <c r="G21" s="32">
        <f>F21*E21</f>
        <v>8800000</v>
      </c>
      <c r="H21" s="107"/>
      <c r="I21" s="107"/>
    </row>
    <row r="22" spans="1:13" x14ac:dyDescent="0.25">
      <c r="A22" s="30" t="s">
        <v>84</v>
      </c>
      <c r="B22" s="30"/>
      <c r="C22" s="31" t="s">
        <v>39</v>
      </c>
      <c r="D22" s="30" t="s">
        <v>36</v>
      </c>
      <c r="E22" s="32">
        <f>E19*10%</f>
        <v>440</v>
      </c>
      <c r="F22" s="32">
        <v>20000</v>
      </c>
      <c r="G22" s="32">
        <f>F22*E22</f>
        <v>8800000</v>
      </c>
      <c r="H22" s="107"/>
      <c r="I22" s="107"/>
    </row>
    <row r="23" spans="1:13" x14ac:dyDescent="0.25">
      <c r="A23" s="30" t="s">
        <v>14</v>
      </c>
      <c r="B23" s="30"/>
      <c r="C23" s="31" t="s">
        <v>40</v>
      </c>
      <c r="D23" s="30" t="s">
        <v>41</v>
      </c>
      <c r="E23" s="32">
        <v>4400</v>
      </c>
      <c r="F23" s="32">
        <v>5000</v>
      </c>
      <c r="G23" s="32">
        <f>F23*E23</f>
        <v>22000000</v>
      </c>
      <c r="H23" s="31" t="s">
        <v>43</v>
      </c>
      <c r="I23" s="41" t="s">
        <v>88</v>
      </c>
    </row>
    <row r="24" spans="1:13" s="57" customFormat="1" x14ac:dyDescent="0.25">
      <c r="A24" s="51" t="s">
        <v>18</v>
      </c>
      <c r="B24" s="51"/>
      <c r="C24" s="52" t="s">
        <v>19</v>
      </c>
      <c r="D24" s="51"/>
      <c r="E24" s="53"/>
      <c r="F24" s="54"/>
      <c r="G24" s="54">
        <f>SUM(G25:G25)</f>
        <v>4400000</v>
      </c>
      <c r="H24" s="55"/>
      <c r="I24" s="56"/>
    </row>
    <row r="25" spans="1:13" ht="33" x14ac:dyDescent="0.25">
      <c r="A25" s="58" t="s">
        <v>92</v>
      </c>
      <c r="B25" s="16"/>
      <c r="C25" s="17" t="s">
        <v>21</v>
      </c>
      <c r="D25" s="16" t="s">
        <v>13</v>
      </c>
      <c r="E25" s="19">
        <v>4400</v>
      </c>
      <c r="F25" s="18">
        <v>1000</v>
      </c>
      <c r="G25" s="18">
        <f>ROUND(E25*F25,0)</f>
        <v>4400000</v>
      </c>
      <c r="H25" s="48" t="s">
        <v>22</v>
      </c>
      <c r="I25" s="21" t="s">
        <v>73</v>
      </c>
    </row>
    <row r="26" spans="1:13" s="23" customFormat="1" x14ac:dyDescent="0.25">
      <c r="A26" s="34">
        <v>2</v>
      </c>
      <c r="B26" s="34"/>
      <c r="C26" s="35" t="s">
        <v>74</v>
      </c>
      <c r="D26" s="27"/>
      <c r="E26" s="36">
        <f>E27+E37+E41+E48+E45</f>
        <v>247.59119999999999</v>
      </c>
      <c r="F26" s="28"/>
      <c r="G26" s="29">
        <f>G27+G37+G41+G45+G48</f>
        <v>101131594.61440001</v>
      </c>
      <c r="H26" s="28"/>
      <c r="I26" s="28"/>
    </row>
    <row r="27" spans="1:13" s="47" customFormat="1" ht="17.25" x14ac:dyDescent="0.3">
      <c r="A27" s="42" t="s">
        <v>20</v>
      </c>
      <c r="B27" s="42"/>
      <c r="C27" s="43" t="s">
        <v>15</v>
      </c>
      <c r="D27" s="42"/>
      <c r="E27" s="44">
        <f>E28+E33</f>
        <v>170.14</v>
      </c>
      <c r="F27" s="45"/>
      <c r="G27" s="46">
        <f>G28+G33</f>
        <v>69495724</v>
      </c>
      <c r="H27" s="45"/>
      <c r="I27" s="45"/>
    </row>
    <row r="28" spans="1:13" x14ac:dyDescent="0.25">
      <c r="A28" s="30" t="s">
        <v>68</v>
      </c>
      <c r="B28" s="30"/>
      <c r="C28" s="33" t="s">
        <v>26</v>
      </c>
      <c r="D28" s="30"/>
      <c r="E28" s="37">
        <f>SUM(E29:E32)</f>
        <v>135.14999999999998</v>
      </c>
      <c r="F28" s="31"/>
      <c r="G28" s="32">
        <f>SUM(G29:G32)</f>
        <v>55203639</v>
      </c>
      <c r="H28" s="31"/>
      <c r="I28" s="31"/>
    </row>
    <row r="29" spans="1:13" ht="33" x14ac:dyDescent="0.25">
      <c r="A29" s="20" t="s">
        <v>81</v>
      </c>
      <c r="B29" s="20" t="s">
        <v>47</v>
      </c>
      <c r="C29" s="38" t="s">
        <v>33</v>
      </c>
      <c r="D29" s="20" t="s">
        <v>25</v>
      </c>
      <c r="E29" s="39">
        <f>ROUND((2/1000)*10000,2)</f>
        <v>20</v>
      </c>
      <c r="F29" s="18">
        <v>408462</v>
      </c>
      <c r="G29" s="18">
        <f>ROUND(F29*E29,0)</f>
        <v>8169240</v>
      </c>
      <c r="H29" s="40" t="s">
        <v>44</v>
      </c>
      <c r="I29" s="112" t="s">
        <v>85</v>
      </c>
      <c r="L29" s="49"/>
      <c r="M29" s="50"/>
    </row>
    <row r="30" spans="1:13" ht="49.5" x14ac:dyDescent="0.25">
      <c r="A30" s="20" t="s">
        <v>82</v>
      </c>
      <c r="B30" s="20" t="s">
        <v>48</v>
      </c>
      <c r="C30" s="38" t="s">
        <v>45</v>
      </c>
      <c r="D30" s="20" t="s">
        <v>25</v>
      </c>
      <c r="E30" s="39">
        <f>ROUND((4.17/1000)*4400,2)</f>
        <v>18.350000000000001</v>
      </c>
      <c r="F30" s="18">
        <v>408462</v>
      </c>
      <c r="G30" s="18">
        <f t="shared" ref="G30:G36" si="0">ROUND(F30*E30,0)</f>
        <v>7495278</v>
      </c>
      <c r="H30" s="40" t="s">
        <v>46</v>
      </c>
      <c r="I30" s="113"/>
      <c r="L30" s="49"/>
    </row>
    <row r="31" spans="1:13" ht="49.5" x14ac:dyDescent="0.25">
      <c r="A31" s="20" t="s">
        <v>83</v>
      </c>
      <c r="B31" s="20" t="s">
        <v>49</v>
      </c>
      <c r="C31" s="38" t="s">
        <v>50</v>
      </c>
      <c r="D31" s="20" t="s">
        <v>25</v>
      </c>
      <c r="E31" s="39">
        <f>ROUND((16.5/1000)*4400,2)</f>
        <v>72.599999999999994</v>
      </c>
      <c r="F31" s="18">
        <v>408462</v>
      </c>
      <c r="G31" s="18">
        <f t="shared" si="0"/>
        <v>29654341</v>
      </c>
      <c r="H31" s="40" t="s">
        <v>51</v>
      </c>
      <c r="I31" s="113"/>
      <c r="L31" s="49"/>
    </row>
    <row r="32" spans="1:13" ht="66" x14ac:dyDescent="0.25">
      <c r="A32" s="20" t="s">
        <v>84</v>
      </c>
      <c r="B32" s="20" t="s">
        <v>53</v>
      </c>
      <c r="C32" s="38" t="s">
        <v>52</v>
      </c>
      <c r="D32" s="20" t="s">
        <v>25</v>
      </c>
      <c r="E32" s="39">
        <f>ROUND((5.5/1000)*4400,2)</f>
        <v>24.2</v>
      </c>
      <c r="F32" s="18">
        <v>408462</v>
      </c>
      <c r="G32" s="18">
        <f t="shared" si="0"/>
        <v>9884780</v>
      </c>
      <c r="H32" s="40" t="s">
        <v>54</v>
      </c>
      <c r="I32" s="114"/>
      <c r="L32" s="49"/>
    </row>
    <row r="33" spans="1:12" x14ac:dyDescent="0.25">
      <c r="A33" s="20" t="s">
        <v>69</v>
      </c>
      <c r="C33" s="38" t="s">
        <v>55</v>
      </c>
      <c r="D33" s="20"/>
      <c r="E33" s="39">
        <f>SUM(E34:E36)</f>
        <v>34.99</v>
      </c>
      <c r="F33" s="18"/>
      <c r="G33" s="18">
        <f>SUM(G34:G36)</f>
        <v>14292085</v>
      </c>
      <c r="H33" s="40"/>
      <c r="I33" s="31"/>
      <c r="L33" s="49"/>
    </row>
    <row r="34" spans="1:12" ht="67.5" customHeight="1" x14ac:dyDescent="0.25">
      <c r="A34" s="20" t="s">
        <v>81</v>
      </c>
      <c r="B34" s="20" t="s">
        <v>56</v>
      </c>
      <c r="C34" s="38" t="s">
        <v>67</v>
      </c>
      <c r="D34" s="20" t="s">
        <v>25</v>
      </c>
      <c r="E34" s="39">
        <f>ROUND((3.3/1000)*4400,2)</f>
        <v>14.52</v>
      </c>
      <c r="F34" s="18">
        <v>408462</v>
      </c>
      <c r="G34" s="18">
        <f t="shared" si="0"/>
        <v>5930868</v>
      </c>
      <c r="H34" s="40" t="s">
        <v>70</v>
      </c>
      <c r="I34" s="112" t="s">
        <v>85</v>
      </c>
    </row>
    <row r="35" spans="1:12" ht="46.5" customHeight="1" x14ac:dyDescent="0.25">
      <c r="A35" s="20" t="s">
        <v>82</v>
      </c>
      <c r="B35" s="20" t="s">
        <v>57</v>
      </c>
      <c r="C35" s="38" t="s">
        <v>27</v>
      </c>
      <c r="D35" s="20" t="s">
        <v>25</v>
      </c>
      <c r="E35" s="39">
        <f>ROUND((19.98/1000)*E20,2)</f>
        <v>13.19</v>
      </c>
      <c r="F35" s="18">
        <v>408462</v>
      </c>
      <c r="G35" s="18">
        <f t="shared" si="0"/>
        <v>5387614</v>
      </c>
      <c r="H35" s="40" t="s">
        <v>58</v>
      </c>
      <c r="I35" s="113"/>
    </row>
    <row r="36" spans="1:12" ht="79.5" customHeight="1" x14ac:dyDescent="0.25">
      <c r="A36" s="20" t="s">
        <v>83</v>
      </c>
      <c r="B36" s="20" t="s">
        <v>62</v>
      </c>
      <c r="C36" s="38" t="s">
        <v>28</v>
      </c>
      <c r="D36" s="20" t="s">
        <v>25</v>
      </c>
      <c r="E36" s="39">
        <v>7.28</v>
      </c>
      <c r="F36" s="18">
        <v>408462</v>
      </c>
      <c r="G36" s="18">
        <f t="shared" si="0"/>
        <v>2973603</v>
      </c>
      <c r="H36" s="20" t="s">
        <v>63</v>
      </c>
      <c r="I36" s="114"/>
    </row>
    <row r="37" spans="1:12" s="91" customFormat="1" ht="17.25" x14ac:dyDescent="0.3">
      <c r="A37" s="92" t="s">
        <v>23</v>
      </c>
      <c r="B37" s="92"/>
      <c r="C37" s="81" t="s">
        <v>16</v>
      </c>
      <c r="D37" s="92"/>
      <c r="E37" s="93">
        <f>SUM(E38:E40)</f>
        <v>28.17</v>
      </c>
      <c r="F37" s="83"/>
      <c r="G37" s="94">
        <f>SUM(G38:G40)</f>
        <v>11506374.18</v>
      </c>
      <c r="H37" s="96"/>
      <c r="I37" s="90"/>
    </row>
    <row r="38" spans="1:12" ht="66" x14ac:dyDescent="0.25">
      <c r="A38" s="20" t="s">
        <v>81</v>
      </c>
      <c r="B38" s="20" t="s">
        <v>59</v>
      </c>
      <c r="C38" s="38" t="s">
        <v>66</v>
      </c>
      <c r="D38" s="20" t="s">
        <v>25</v>
      </c>
      <c r="E38" s="39">
        <f>ROUND((2.75/1000)*4400,2)</f>
        <v>12.1</v>
      </c>
      <c r="F38" s="18">
        <v>408462</v>
      </c>
      <c r="G38" s="18">
        <f>F38*E38</f>
        <v>4942390.2</v>
      </c>
      <c r="H38" s="40" t="s">
        <v>70</v>
      </c>
      <c r="I38" s="112" t="s">
        <v>85</v>
      </c>
    </row>
    <row r="39" spans="1:12" ht="49.5" x14ac:dyDescent="0.25">
      <c r="A39" s="20" t="s">
        <v>82</v>
      </c>
      <c r="B39" s="20" t="s">
        <v>57</v>
      </c>
      <c r="C39" s="38" t="s">
        <v>27</v>
      </c>
      <c r="D39" s="20" t="s">
        <v>25</v>
      </c>
      <c r="E39" s="39">
        <f>ROUND((19.98/1000)*E21,2)</f>
        <v>8.7899999999999991</v>
      </c>
      <c r="F39" s="18">
        <v>408462</v>
      </c>
      <c r="G39" s="18">
        <f>F39*E39</f>
        <v>3590380.9799999995</v>
      </c>
      <c r="H39" s="40" t="s">
        <v>58</v>
      </c>
      <c r="I39" s="113"/>
    </row>
    <row r="40" spans="1:12" ht="82.5" x14ac:dyDescent="0.25">
      <c r="A40" s="20" t="s">
        <v>83</v>
      </c>
      <c r="B40" s="20" t="s">
        <v>62</v>
      </c>
      <c r="C40" s="38" t="s">
        <v>28</v>
      </c>
      <c r="D40" s="20" t="s">
        <v>25</v>
      </c>
      <c r="E40" s="39">
        <v>7.28</v>
      </c>
      <c r="F40" s="18">
        <v>408462</v>
      </c>
      <c r="G40" s="18">
        <f>ROUND(F40*E40,0)</f>
        <v>2973603</v>
      </c>
      <c r="H40" s="20" t="s">
        <v>63</v>
      </c>
      <c r="I40" s="114"/>
    </row>
    <row r="41" spans="1:12" s="91" customFormat="1" ht="17.25" x14ac:dyDescent="0.3">
      <c r="A41" s="87" t="s">
        <v>71</v>
      </c>
      <c r="B41" s="87"/>
      <c r="C41" s="81" t="s">
        <v>17</v>
      </c>
      <c r="D41" s="87"/>
      <c r="E41" s="88">
        <f>SUM(E42:E44)</f>
        <v>20.2012</v>
      </c>
      <c r="F41" s="83"/>
      <c r="G41" s="89">
        <f>SUM(G42:G44)</f>
        <v>8251422.1943999995</v>
      </c>
      <c r="H41" s="90"/>
      <c r="I41" s="90"/>
    </row>
    <row r="42" spans="1:12" ht="66" x14ac:dyDescent="0.25">
      <c r="A42" s="20" t="s">
        <v>81</v>
      </c>
      <c r="B42" s="20" t="s">
        <v>60</v>
      </c>
      <c r="C42" s="38" t="s">
        <v>65</v>
      </c>
      <c r="D42" s="20" t="s">
        <v>25</v>
      </c>
      <c r="E42" s="39">
        <f>ROUND((1.65/1000)*2500,2)</f>
        <v>4.13</v>
      </c>
      <c r="F42" s="18">
        <v>408462</v>
      </c>
      <c r="G42" s="18">
        <f>F42*E42</f>
        <v>1686948.06</v>
      </c>
      <c r="H42" s="40" t="s">
        <v>70</v>
      </c>
      <c r="I42" s="112" t="s">
        <v>85</v>
      </c>
    </row>
    <row r="43" spans="1:12" ht="49.5" x14ac:dyDescent="0.25">
      <c r="A43" s="20" t="s">
        <v>82</v>
      </c>
      <c r="B43" s="20" t="s">
        <v>57</v>
      </c>
      <c r="C43" s="38" t="s">
        <v>27</v>
      </c>
      <c r="D43" s="20" t="s">
        <v>25</v>
      </c>
      <c r="E43" s="18">
        <f>(19.98/1000)*E22</f>
        <v>8.7911999999999999</v>
      </c>
      <c r="F43" s="18">
        <v>408462</v>
      </c>
      <c r="G43" s="18">
        <f>F43*E43</f>
        <v>3590871.1343999999</v>
      </c>
      <c r="H43" s="40" t="s">
        <v>58</v>
      </c>
      <c r="I43" s="113"/>
    </row>
    <row r="44" spans="1:12" ht="82.5" x14ac:dyDescent="0.25">
      <c r="A44" s="20" t="s">
        <v>83</v>
      </c>
      <c r="B44" s="20" t="s">
        <v>62</v>
      </c>
      <c r="C44" s="38" t="s">
        <v>28</v>
      </c>
      <c r="D44" s="20" t="s">
        <v>25</v>
      </c>
      <c r="E44" s="39">
        <v>7.28</v>
      </c>
      <c r="F44" s="18">
        <v>408462</v>
      </c>
      <c r="G44" s="18">
        <f>ROUND(F44*E44,0)</f>
        <v>2973603</v>
      </c>
      <c r="H44" s="20" t="s">
        <v>63</v>
      </c>
      <c r="I44" s="114"/>
    </row>
    <row r="45" spans="1:12" s="86" customFormat="1" ht="17.25" x14ac:dyDescent="0.3">
      <c r="A45" s="92" t="s">
        <v>24</v>
      </c>
      <c r="B45" s="92"/>
      <c r="C45" s="81" t="s">
        <v>29</v>
      </c>
      <c r="D45" s="92"/>
      <c r="E45" s="93">
        <f>SUM(E46:E47)</f>
        <v>14.54</v>
      </c>
      <c r="F45" s="83"/>
      <c r="G45" s="94">
        <f>SUM(G46:G47)</f>
        <v>5939037.1200000001</v>
      </c>
      <c r="H45" s="95"/>
      <c r="I45" s="85"/>
    </row>
    <row r="46" spans="1:12" ht="66" x14ac:dyDescent="0.25">
      <c r="A46" s="20" t="s">
        <v>81</v>
      </c>
      <c r="B46" s="20" t="s">
        <v>60</v>
      </c>
      <c r="C46" s="38" t="s">
        <v>61</v>
      </c>
      <c r="D46" s="20" t="s">
        <v>25</v>
      </c>
      <c r="E46" s="39">
        <f>ROUND((1.65/1000)*4400,2)</f>
        <v>7.26</v>
      </c>
      <c r="F46" s="18">
        <v>408462</v>
      </c>
      <c r="G46" s="18">
        <f>F46*E46</f>
        <v>2965434.12</v>
      </c>
      <c r="H46" s="40" t="s">
        <v>70</v>
      </c>
      <c r="I46" s="112" t="s">
        <v>85</v>
      </c>
    </row>
    <row r="47" spans="1:12" ht="82.5" x14ac:dyDescent="0.25">
      <c r="A47" s="20" t="s">
        <v>82</v>
      </c>
      <c r="B47" s="20" t="s">
        <v>62</v>
      </c>
      <c r="C47" s="38" t="s">
        <v>28</v>
      </c>
      <c r="D47" s="20" t="s">
        <v>25</v>
      </c>
      <c r="E47" s="39">
        <v>7.28</v>
      </c>
      <c r="F47" s="18">
        <v>408462</v>
      </c>
      <c r="G47" s="18">
        <f>ROUND(F47*E47,0)</f>
        <v>2973603</v>
      </c>
      <c r="H47" s="20" t="s">
        <v>63</v>
      </c>
      <c r="I47" s="114"/>
    </row>
    <row r="48" spans="1:12" s="86" customFormat="1" ht="17.25" x14ac:dyDescent="0.3">
      <c r="A48" s="80" t="s">
        <v>72</v>
      </c>
      <c r="B48" s="80"/>
      <c r="C48" s="81" t="s">
        <v>30</v>
      </c>
      <c r="D48" s="80"/>
      <c r="E48" s="82">
        <f>SUM(E49:E50)</f>
        <v>14.54</v>
      </c>
      <c r="F48" s="83"/>
      <c r="G48" s="84">
        <f>SUM(G49:G50)</f>
        <v>5939037.1200000001</v>
      </c>
      <c r="H48" s="85"/>
      <c r="I48" s="85"/>
    </row>
    <row r="49" spans="1:9" ht="66.75" customHeight="1" x14ac:dyDescent="0.25">
      <c r="A49" s="48" t="s">
        <v>81</v>
      </c>
      <c r="B49" s="48" t="s">
        <v>60</v>
      </c>
      <c r="C49" s="38" t="s">
        <v>64</v>
      </c>
      <c r="D49" s="48" t="s">
        <v>25</v>
      </c>
      <c r="E49" s="39">
        <f>ROUND((1.65/1000)*4400,2)</f>
        <v>7.26</v>
      </c>
      <c r="F49" s="18">
        <v>408462</v>
      </c>
      <c r="G49" s="18">
        <f>F49*E49</f>
        <v>2965434.12</v>
      </c>
      <c r="H49" s="40" t="s">
        <v>70</v>
      </c>
      <c r="I49" s="115" t="s">
        <v>85</v>
      </c>
    </row>
    <row r="50" spans="1:9" ht="81.75" customHeight="1" x14ac:dyDescent="0.25">
      <c r="A50" s="48" t="s">
        <v>82</v>
      </c>
      <c r="B50" s="48" t="s">
        <v>62</v>
      </c>
      <c r="C50" s="38" t="s">
        <v>28</v>
      </c>
      <c r="D50" s="48" t="s">
        <v>25</v>
      </c>
      <c r="E50" s="39">
        <v>7.28</v>
      </c>
      <c r="F50" s="18">
        <v>408462</v>
      </c>
      <c r="G50" s="18">
        <f>ROUND(F50*E50,0)</f>
        <v>2973603</v>
      </c>
      <c r="H50" s="48" t="s">
        <v>63</v>
      </c>
      <c r="I50" s="116"/>
    </row>
    <row r="51" spans="1:9" s="79" customFormat="1" x14ac:dyDescent="0.25">
      <c r="A51" s="77" t="s">
        <v>97</v>
      </c>
      <c r="B51" s="77"/>
      <c r="C51" s="77" t="s">
        <v>96</v>
      </c>
      <c r="D51" s="77"/>
      <c r="E51" s="77"/>
      <c r="F51" s="77"/>
      <c r="G51" s="78">
        <f>G52</f>
        <v>2973603</v>
      </c>
      <c r="H51" s="77"/>
      <c r="I51" s="77"/>
    </row>
    <row r="52" spans="1:9" ht="81" customHeight="1" x14ac:dyDescent="0.25">
      <c r="A52" s="48" t="s">
        <v>82</v>
      </c>
      <c r="B52" s="48" t="s">
        <v>62</v>
      </c>
      <c r="C52" s="38" t="s">
        <v>28</v>
      </c>
      <c r="D52" s="48" t="s">
        <v>25</v>
      </c>
      <c r="E52" s="39">
        <v>7.28</v>
      </c>
      <c r="F52" s="18">
        <v>408462</v>
      </c>
      <c r="G52" s="18">
        <f>ROUND(F52*E52,0)</f>
        <v>2973603</v>
      </c>
      <c r="H52" s="48" t="s">
        <v>63</v>
      </c>
      <c r="I52" s="31"/>
    </row>
    <row r="55" spans="1:9" ht="67.5" customHeight="1" x14ac:dyDescent="0.25">
      <c r="C55" s="125" t="s">
        <v>150</v>
      </c>
      <c r="D55" s="125"/>
      <c r="E55" s="125"/>
      <c r="F55" s="125"/>
      <c r="G55" s="125"/>
      <c r="H55" s="125"/>
      <c r="I55" s="125"/>
    </row>
  </sheetData>
  <mergeCells count="25">
    <mergeCell ref="C55:I55"/>
    <mergeCell ref="I42:I44"/>
    <mergeCell ref="I46:I47"/>
    <mergeCell ref="I49:I50"/>
    <mergeCell ref="A3:I3"/>
    <mergeCell ref="A1:I1"/>
    <mergeCell ref="A2:I2"/>
    <mergeCell ref="I29:I32"/>
    <mergeCell ref="I34:I36"/>
    <mergeCell ref="I38:I40"/>
    <mergeCell ref="A14:A15"/>
    <mergeCell ref="B7:I7"/>
    <mergeCell ref="B9:I9"/>
    <mergeCell ref="C14:C15"/>
    <mergeCell ref="D14:G14"/>
    <mergeCell ref="J8:K8"/>
    <mergeCell ref="H19:H22"/>
    <mergeCell ref="I19:I22"/>
    <mergeCell ref="B6:I6"/>
    <mergeCell ref="B8:I8"/>
    <mergeCell ref="H14:H15"/>
    <mergeCell ref="I14:I15"/>
    <mergeCell ref="B14:B15"/>
    <mergeCell ref="B10:I10"/>
    <mergeCell ref="B11:I11"/>
  </mergeCells>
  <printOptions horizontalCentered="1"/>
  <pageMargins left="0.51181102362204722" right="0.51181102362204722" top="0.55118110236220474" bottom="0.55118110236220474" header="0.31496062992125984" footer="0.31496062992125984"/>
  <pageSetup paperSize="9" orientation="landscape" horizontalDpi="0" verticalDpi="0" r:id="rId1"/>
  <headerFoot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N48"/>
  <sheetViews>
    <sheetView topLeftCell="B28" workbookViewId="0">
      <selection activeCell="K51" sqref="K51"/>
    </sheetView>
  </sheetViews>
  <sheetFormatPr defaultRowHeight="15.75" x14ac:dyDescent="0.25"/>
  <cols>
    <col min="3" max="3" width="21.5" customWidth="1"/>
    <col min="5" max="5" width="11.875" customWidth="1"/>
    <col min="9" max="9" width="16.75" customWidth="1"/>
    <col min="10" max="10" width="14" customWidth="1"/>
    <col min="11" max="11" width="32.25" customWidth="1"/>
    <col min="12" max="12" width="11.75" bestFit="1" customWidth="1"/>
    <col min="13" max="13" width="9.25" bestFit="1" customWidth="1"/>
  </cols>
  <sheetData>
    <row r="2" spans="3:5" x14ac:dyDescent="0.25">
      <c r="C2" t="s">
        <v>98</v>
      </c>
    </row>
    <row r="3" spans="3:5" x14ac:dyDescent="0.25">
      <c r="C3" t="s">
        <v>105</v>
      </c>
    </row>
    <row r="4" spans="3:5" x14ac:dyDescent="0.25">
      <c r="C4" t="s">
        <v>95</v>
      </c>
    </row>
    <row r="6" spans="3:5" ht="47.25" x14ac:dyDescent="0.25">
      <c r="C6" s="59" t="s">
        <v>93</v>
      </c>
      <c r="D6" s="59" t="s">
        <v>94</v>
      </c>
      <c r="E6" s="101" t="s">
        <v>143</v>
      </c>
    </row>
    <row r="7" spans="3:5" x14ac:dyDescent="0.25">
      <c r="C7" s="59">
        <v>5</v>
      </c>
      <c r="D7" s="59">
        <v>4.2</v>
      </c>
      <c r="E7" s="61">
        <f>D7/C7</f>
        <v>0.84000000000000008</v>
      </c>
    </row>
    <row r="8" spans="3:5" x14ac:dyDescent="0.25">
      <c r="C8" s="59">
        <v>10</v>
      </c>
      <c r="D8" s="59">
        <v>7.6</v>
      </c>
      <c r="E8" s="61">
        <f t="shared" ref="E8:E14" si="0">D8/C8</f>
        <v>0.76</v>
      </c>
    </row>
    <row r="9" spans="3:5" x14ac:dyDescent="0.25">
      <c r="C9" s="59">
        <v>15</v>
      </c>
      <c r="D9" s="59">
        <v>10.8</v>
      </c>
      <c r="E9" s="61">
        <f t="shared" si="0"/>
        <v>0.72000000000000008</v>
      </c>
    </row>
    <row r="10" spans="3:5" x14ac:dyDescent="0.25">
      <c r="C10" s="59">
        <v>20</v>
      </c>
      <c r="D10" s="59">
        <v>13.9</v>
      </c>
      <c r="E10" s="61">
        <f t="shared" si="0"/>
        <v>0.69500000000000006</v>
      </c>
    </row>
    <row r="11" spans="3:5" x14ac:dyDescent="0.25">
      <c r="C11" s="59">
        <v>25</v>
      </c>
      <c r="D11" s="59">
        <v>16.899999999999999</v>
      </c>
      <c r="E11" s="61">
        <f t="shared" si="0"/>
        <v>0.67599999999999993</v>
      </c>
    </row>
    <row r="12" spans="3:5" x14ac:dyDescent="0.25">
      <c r="C12" s="59">
        <v>30</v>
      </c>
      <c r="D12" s="59">
        <v>19.899999999999999</v>
      </c>
      <c r="E12" s="61">
        <f t="shared" si="0"/>
        <v>0.66333333333333333</v>
      </c>
    </row>
    <row r="13" spans="3:5" x14ac:dyDescent="0.25">
      <c r="C13" s="59">
        <v>35</v>
      </c>
      <c r="D13" s="59">
        <v>22.7</v>
      </c>
      <c r="E13" s="61">
        <f t="shared" si="0"/>
        <v>0.64857142857142858</v>
      </c>
    </row>
    <row r="14" spans="3:5" x14ac:dyDescent="0.25">
      <c r="C14" s="59">
        <v>40</v>
      </c>
      <c r="D14" s="59">
        <v>25.5</v>
      </c>
      <c r="E14" s="61">
        <f t="shared" si="0"/>
        <v>0.63749999999999996</v>
      </c>
    </row>
    <row r="16" spans="3:5" x14ac:dyDescent="0.25">
      <c r="C16" t="s">
        <v>99</v>
      </c>
    </row>
    <row r="18" spans="3:14" ht="78.75" x14ac:dyDescent="0.25">
      <c r="C18" s="62" t="s">
        <v>100</v>
      </c>
      <c r="D18" s="63" t="s">
        <v>101</v>
      </c>
      <c r="E18" s="64" t="s">
        <v>102</v>
      </c>
      <c r="F18" s="63" t="s">
        <v>103</v>
      </c>
      <c r="G18" s="63" t="s">
        <v>107</v>
      </c>
      <c r="H18" s="62" t="s">
        <v>4</v>
      </c>
    </row>
    <row r="19" spans="3:14" ht="63" x14ac:dyDescent="0.25">
      <c r="C19" s="119" t="s">
        <v>104</v>
      </c>
      <c r="D19" s="126">
        <v>1</v>
      </c>
      <c r="E19" s="127">
        <f>D19*0.7</f>
        <v>0.7</v>
      </c>
      <c r="F19" s="128"/>
      <c r="G19" s="129"/>
      <c r="H19" s="130" t="s">
        <v>106</v>
      </c>
      <c r="K19" s="62" t="s">
        <v>100</v>
      </c>
      <c r="L19" s="65" t="s">
        <v>119</v>
      </c>
      <c r="M19" s="65" t="s">
        <v>120</v>
      </c>
      <c r="N19" s="62" t="s">
        <v>4</v>
      </c>
    </row>
    <row r="20" spans="3:14" ht="15.75" customHeight="1" x14ac:dyDescent="0.25">
      <c r="C20" s="119"/>
      <c r="D20" s="126">
        <v>2</v>
      </c>
      <c r="E20" s="127">
        <f t="shared" ref="E20:E48" si="1">D20*0.7</f>
        <v>1.4</v>
      </c>
      <c r="F20" s="131"/>
      <c r="G20" s="132"/>
      <c r="H20" s="130"/>
      <c r="K20" s="120" t="s">
        <v>121</v>
      </c>
      <c r="L20" s="74" t="s">
        <v>122</v>
      </c>
      <c r="M20" s="71">
        <v>3</v>
      </c>
      <c r="N20" s="120" t="s">
        <v>106</v>
      </c>
    </row>
    <row r="21" spans="3:14" x14ac:dyDescent="0.25">
      <c r="C21" s="119"/>
      <c r="D21" s="133">
        <v>3</v>
      </c>
      <c r="E21" s="134">
        <f t="shared" si="1"/>
        <v>2.0999999999999996</v>
      </c>
      <c r="F21" s="135">
        <v>2</v>
      </c>
      <c r="G21" s="136" t="s">
        <v>151</v>
      </c>
      <c r="H21" s="130"/>
      <c r="K21" s="121"/>
      <c r="L21" s="73" t="s">
        <v>123</v>
      </c>
      <c r="M21" s="71">
        <v>6</v>
      </c>
      <c r="N21" s="121"/>
    </row>
    <row r="22" spans="3:14" x14ac:dyDescent="0.25">
      <c r="C22" s="119"/>
      <c r="D22" s="126">
        <v>4</v>
      </c>
      <c r="E22" s="127">
        <f t="shared" si="1"/>
        <v>2.8</v>
      </c>
      <c r="F22" s="128"/>
      <c r="G22" s="129"/>
      <c r="H22" s="130"/>
      <c r="K22" s="121"/>
      <c r="L22" s="70" t="s">
        <v>124</v>
      </c>
      <c r="M22" s="71">
        <v>9</v>
      </c>
      <c r="N22" s="121"/>
    </row>
    <row r="23" spans="3:14" x14ac:dyDescent="0.25">
      <c r="C23" s="119"/>
      <c r="D23" s="126">
        <v>5</v>
      </c>
      <c r="E23" s="127">
        <f t="shared" si="1"/>
        <v>3.5</v>
      </c>
      <c r="F23" s="128"/>
      <c r="G23" s="129"/>
      <c r="H23" s="130"/>
      <c r="K23" s="121"/>
      <c r="L23" s="70" t="s">
        <v>125</v>
      </c>
      <c r="M23" s="71">
        <v>11</v>
      </c>
      <c r="N23" s="121"/>
    </row>
    <row r="24" spans="3:14" x14ac:dyDescent="0.25">
      <c r="C24" s="119"/>
      <c r="D24" s="126">
        <v>6</v>
      </c>
      <c r="E24" s="137">
        <f t="shared" si="1"/>
        <v>4.1999999999999993</v>
      </c>
      <c r="F24" s="128">
        <v>4</v>
      </c>
      <c r="G24" s="129" t="s">
        <v>108</v>
      </c>
      <c r="H24" s="130"/>
      <c r="K24" s="121"/>
      <c r="L24" s="70" t="s">
        <v>126</v>
      </c>
      <c r="M24" s="71">
        <v>14</v>
      </c>
      <c r="N24" s="121"/>
    </row>
    <row r="25" spans="3:14" x14ac:dyDescent="0.25">
      <c r="C25" s="119"/>
      <c r="D25" s="126">
        <v>7</v>
      </c>
      <c r="E25" s="127">
        <f t="shared" si="1"/>
        <v>4.8999999999999995</v>
      </c>
      <c r="F25" s="128"/>
      <c r="G25" s="129"/>
      <c r="H25" s="130"/>
      <c r="K25" s="121"/>
      <c r="L25" s="70" t="s">
        <v>127</v>
      </c>
      <c r="M25" s="71">
        <v>17</v>
      </c>
      <c r="N25" s="121"/>
    </row>
    <row r="26" spans="3:14" x14ac:dyDescent="0.25">
      <c r="C26" s="60"/>
      <c r="D26" s="126">
        <v>8</v>
      </c>
      <c r="E26" s="127">
        <f t="shared" si="1"/>
        <v>5.6</v>
      </c>
      <c r="F26" s="138"/>
      <c r="G26" s="138"/>
      <c r="H26" s="138"/>
      <c r="K26" s="121"/>
      <c r="L26" s="70" t="s">
        <v>128</v>
      </c>
      <c r="M26" s="71">
        <v>20</v>
      </c>
      <c r="N26" s="121"/>
    </row>
    <row r="27" spans="3:14" x14ac:dyDescent="0.25">
      <c r="C27" s="60"/>
      <c r="D27" s="126">
        <v>9</v>
      </c>
      <c r="E27" s="137">
        <f t="shared" si="1"/>
        <v>6.3</v>
      </c>
      <c r="F27" s="139">
        <v>6</v>
      </c>
      <c r="G27" s="139" t="s">
        <v>109</v>
      </c>
      <c r="H27" s="139"/>
      <c r="K27" s="121"/>
      <c r="L27" s="70" t="s">
        <v>129</v>
      </c>
      <c r="M27" s="75">
        <v>23</v>
      </c>
      <c r="N27" s="121"/>
    </row>
    <row r="28" spans="3:14" x14ac:dyDescent="0.25">
      <c r="C28" s="60"/>
      <c r="D28" s="126">
        <v>10</v>
      </c>
      <c r="E28" s="127">
        <f t="shared" si="1"/>
        <v>7</v>
      </c>
      <c r="F28" s="138"/>
      <c r="G28" s="138"/>
      <c r="H28" s="138"/>
      <c r="K28" s="121"/>
      <c r="L28" s="70" t="s">
        <v>130</v>
      </c>
      <c r="M28" s="75">
        <v>26</v>
      </c>
      <c r="N28" s="121"/>
    </row>
    <row r="29" spans="3:14" x14ac:dyDescent="0.25">
      <c r="C29" s="60"/>
      <c r="D29" s="126">
        <v>11</v>
      </c>
      <c r="E29" s="127">
        <f t="shared" si="1"/>
        <v>7.6999999999999993</v>
      </c>
      <c r="F29" s="138">
        <v>8</v>
      </c>
      <c r="G29" s="138" t="s">
        <v>110</v>
      </c>
      <c r="H29" s="138"/>
      <c r="K29" s="121"/>
      <c r="L29" s="70" t="s">
        <v>131</v>
      </c>
      <c r="M29" s="75">
        <v>29</v>
      </c>
      <c r="N29" s="121"/>
    </row>
    <row r="30" spans="3:14" x14ac:dyDescent="0.25">
      <c r="C30" s="60"/>
      <c r="D30" s="126">
        <v>12</v>
      </c>
      <c r="E30" s="127">
        <f t="shared" si="1"/>
        <v>8.3999999999999986</v>
      </c>
      <c r="F30" s="138"/>
      <c r="G30" s="138"/>
      <c r="H30" s="138"/>
      <c r="K30" s="121"/>
      <c r="L30" s="70" t="s">
        <v>133</v>
      </c>
      <c r="M30" s="75">
        <v>32</v>
      </c>
      <c r="N30" s="121"/>
    </row>
    <row r="31" spans="3:14" x14ac:dyDescent="0.25">
      <c r="C31" s="60"/>
      <c r="D31" s="66">
        <v>13</v>
      </c>
      <c r="E31" s="67">
        <f t="shared" si="1"/>
        <v>9.1</v>
      </c>
      <c r="F31" s="60"/>
      <c r="G31" s="60"/>
      <c r="H31" s="60"/>
      <c r="K31" s="121"/>
      <c r="L31" s="70" t="s">
        <v>134</v>
      </c>
      <c r="M31" s="75">
        <v>34</v>
      </c>
      <c r="N31" s="121"/>
    </row>
    <row r="32" spans="3:14" x14ac:dyDescent="0.25">
      <c r="C32" s="60"/>
      <c r="D32" s="66">
        <v>14</v>
      </c>
      <c r="E32" s="67">
        <f t="shared" si="1"/>
        <v>9.7999999999999989</v>
      </c>
      <c r="F32" s="60">
        <v>10</v>
      </c>
      <c r="G32" s="60" t="s">
        <v>111</v>
      </c>
      <c r="H32" s="60"/>
      <c r="K32" s="121"/>
      <c r="L32" s="70" t="s">
        <v>135</v>
      </c>
      <c r="M32" s="75">
        <v>37</v>
      </c>
      <c r="N32" s="121"/>
    </row>
    <row r="33" spans="3:14" x14ac:dyDescent="0.25">
      <c r="C33" s="60"/>
      <c r="D33" s="66">
        <v>15</v>
      </c>
      <c r="E33" s="67">
        <f t="shared" si="1"/>
        <v>10.5</v>
      </c>
      <c r="F33" s="60"/>
      <c r="G33" s="60"/>
      <c r="H33" s="60"/>
      <c r="K33" s="122"/>
      <c r="L33" s="70" t="s">
        <v>132</v>
      </c>
      <c r="M33" s="75">
        <v>38</v>
      </c>
      <c r="N33" s="122"/>
    </row>
    <row r="34" spans="3:14" x14ac:dyDescent="0.25">
      <c r="C34" s="60"/>
      <c r="D34" s="66">
        <v>16</v>
      </c>
      <c r="E34" s="67">
        <f t="shared" si="1"/>
        <v>11.2</v>
      </c>
      <c r="F34" s="60"/>
      <c r="G34" s="60"/>
      <c r="H34" s="60"/>
    </row>
    <row r="35" spans="3:14" x14ac:dyDescent="0.25">
      <c r="C35" s="60"/>
      <c r="D35" s="66">
        <v>17</v>
      </c>
      <c r="E35" s="67">
        <f t="shared" si="1"/>
        <v>11.899999999999999</v>
      </c>
      <c r="F35" s="60">
        <v>12</v>
      </c>
      <c r="G35" s="60" t="s">
        <v>112</v>
      </c>
      <c r="H35" s="60"/>
    </row>
    <row r="36" spans="3:14" x14ac:dyDescent="0.25">
      <c r="C36" s="60"/>
      <c r="D36" s="66">
        <v>18</v>
      </c>
      <c r="E36" s="67">
        <f t="shared" si="1"/>
        <v>12.6</v>
      </c>
      <c r="F36" s="60"/>
      <c r="G36" s="60"/>
      <c r="H36" s="60"/>
    </row>
    <row r="37" spans="3:14" x14ac:dyDescent="0.25">
      <c r="C37" s="60"/>
      <c r="D37" s="66">
        <v>19</v>
      </c>
      <c r="E37" s="67">
        <f t="shared" si="1"/>
        <v>13.299999999999999</v>
      </c>
      <c r="F37" s="60"/>
      <c r="G37" s="60"/>
      <c r="H37" s="60"/>
    </row>
    <row r="38" spans="3:14" x14ac:dyDescent="0.25">
      <c r="C38" s="60"/>
      <c r="D38" s="66">
        <v>20</v>
      </c>
      <c r="E38" s="67">
        <f t="shared" si="1"/>
        <v>14</v>
      </c>
      <c r="F38" s="60">
        <v>14</v>
      </c>
      <c r="G38" s="60" t="s">
        <v>113</v>
      </c>
      <c r="H38" s="60"/>
    </row>
    <row r="39" spans="3:14" x14ac:dyDescent="0.25">
      <c r="C39" s="60"/>
      <c r="D39" s="66">
        <v>21</v>
      </c>
      <c r="E39" s="67">
        <f t="shared" si="1"/>
        <v>14.7</v>
      </c>
      <c r="F39" s="60"/>
      <c r="G39" s="60"/>
      <c r="H39" s="60"/>
    </row>
    <row r="40" spans="3:14" x14ac:dyDescent="0.25">
      <c r="C40" s="60"/>
      <c r="D40" s="66">
        <v>22</v>
      </c>
      <c r="E40" s="67">
        <f t="shared" si="1"/>
        <v>15.399999999999999</v>
      </c>
      <c r="F40" s="60"/>
      <c r="G40" s="60"/>
      <c r="H40" s="60"/>
    </row>
    <row r="41" spans="3:14" x14ac:dyDescent="0.25">
      <c r="C41" s="60"/>
      <c r="D41" s="66">
        <v>23</v>
      </c>
      <c r="E41" s="67">
        <f t="shared" si="1"/>
        <v>16.099999999999998</v>
      </c>
      <c r="F41" s="60">
        <v>16</v>
      </c>
      <c r="G41" s="60" t="s">
        <v>114</v>
      </c>
      <c r="H41" s="60"/>
    </row>
    <row r="42" spans="3:14" x14ac:dyDescent="0.25">
      <c r="C42" s="60"/>
      <c r="D42" s="66">
        <v>24</v>
      </c>
      <c r="E42" s="67">
        <f t="shared" si="1"/>
        <v>16.799999999999997</v>
      </c>
      <c r="F42" s="60"/>
      <c r="G42" s="60"/>
      <c r="H42" s="60"/>
    </row>
    <row r="43" spans="3:14" x14ac:dyDescent="0.25">
      <c r="C43" s="60"/>
      <c r="D43" s="66">
        <v>25</v>
      </c>
      <c r="E43" s="67">
        <f t="shared" si="1"/>
        <v>17.5</v>
      </c>
      <c r="F43" s="60"/>
      <c r="G43" s="60"/>
      <c r="H43" s="60"/>
    </row>
    <row r="44" spans="3:14" x14ac:dyDescent="0.25">
      <c r="C44" s="60"/>
      <c r="D44" s="66">
        <v>26</v>
      </c>
      <c r="E44" s="67">
        <f t="shared" si="1"/>
        <v>18.2</v>
      </c>
      <c r="F44" s="60">
        <v>18</v>
      </c>
      <c r="G44" s="60" t="s">
        <v>115</v>
      </c>
      <c r="H44" s="60"/>
    </row>
    <row r="45" spans="3:14" x14ac:dyDescent="0.25">
      <c r="C45" s="60"/>
      <c r="D45" s="66">
        <v>27</v>
      </c>
      <c r="E45" s="67">
        <f t="shared" si="1"/>
        <v>18.899999999999999</v>
      </c>
      <c r="F45" s="60"/>
      <c r="G45" s="60"/>
      <c r="H45" s="60"/>
    </row>
    <row r="46" spans="3:14" x14ac:dyDescent="0.25">
      <c r="C46" s="60"/>
      <c r="D46" s="66">
        <v>28</v>
      </c>
      <c r="E46" s="67">
        <f t="shared" si="1"/>
        <v>19.599999999999998</v>
      </c>
      <c r="F46" s="60"/>
      <c r="G46" s="60"/>
      <c r="H46" s="60"/>
    </row>
    <row r="47" spans="3:14" x14ac:dyDescent="0.25">
      <c r="C47" s="60"/>
      <c r="D47" s="66">
        <v>29</v>
      </c>
      <c r="E47" s="67">
        <f t="shared" si="1"/>
        <v>20.299999999999997</v>
      </c>
      <c r="F47" s="60">
        <v>20</v>
      </c>
      <c r="G47" s="60" t="s">
        <v>116</v>
      </c>
      <c r="H47" s="60"/>
    </row>
    <row r="48" spans="3:14" x14ac:dyDescent="0.25">
      <c r="C48" s="60"/>
      <c r="D48" s="66">
        <v>30</v>
      </c>
      <c r="E48" s="67">
        <f t="shared" si="1"/>
        <v>21</v>
      </c>
      <c r="F48" s="60"/>
      <c r="G48" s="60"/>
      <c r="H48" s="60"/>
    </row>
  </sheetData>
  <mergeCells count="4">
    <mergeCell ref="C19:C25"/>
    <mergeCell ref="H19:H25"/>
    <mergeCell ref="K20:K33"/>
    <mergeCell ref="N20:N3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workbookViewId="0">
      <selection activeCell="S11" sqref="S11"/>
    </sheetView>
  </sheetViews>
  <sheetFormatPr defaultRowHeight="15.75" x14ac:dyDescent="0.25"/>
  <cols>
    <col min="3" max="3" width="6.25" style="102" customWidth="1"/>
    <col min="4" max="4" width="11.75" customWidth="1"/>
    <col min="5" max="5" width="12.75" customWidth="1"/>
    <col min="6" max="6" width="12.625" customWidth="1"/>
    <col min="7" max="7" width="11.5" customWidth="1"/>
    <col min="8" max="8" width="11.375" customWidth="1"/>
    <col min="9" max="9" width="10.875" customWidth="1"/>
    <col min="10" max="10" width="12.75" style="102" customWidth="1"/>
    <col min="13" max="13" width="9.875" bestFit="1" customWidth="1"/>
    <col min="14" max="14" width="12.75" bestFit="1" customWidth="1"/>
  </cols>
  <sheetData>
    <row r="1" spans="1:14" x14ac:dyDescent="0.25">
      <c r="A1" t="s">
        <v>117</v>
      </c>
    </row>
    <row r="3" spans="1:14" ht="94.5" x14ac:dyDescent="0.25">
      <c r="C3" s="103" t="s">
        <v>136</v>
      </c>
      <c r="D3" s="97" t="s">
        <v>140</v>
      </c>
      <c r="E3" s="97" t="s">
        <v>118</v>
      </c>
      <c r="F3" s="68" t="s">
        <v>145</v>
      </c>
      <c r="G3" s="68" t="s">
        <v>137</v>
      </c>
      <c r="H3" s="97" t="s">
        <v>146</v>
      </c>
      <c r="I3" s="97" t="s">
        <v>147</v>
      </c>
      <c r="J3" s="103" t="s">
        <v>138</v>
      </c>
      <c r="K3" s="123" t="s">
        <v>144</v>
      </c>
    </row>
    <row r="4" spans="1:14" x14ac:dyDescent="0.25">
      <c r="C4" s="103"/>
      <c r="D4" s="97"/>
      <c r="E4" s="97">
        <v>1</v>
      </c>
      <c r="F4" s="68">
        <v>2</v>
      </c>
      <c r="G4" s="68">
        <v>3</v>
      </c>
      <c r="H4" s="97">
        <v>4</v>
      </c>
      <c r="I4" s="97">
        <v>5</v>
      </c>
      <c r="J4" s="103" t="s">
        <v>139</v>
      </c>
      <c r="K4" s="60"/>
    </row>
    <row r="5" spans="1:14" x14ac:dyDescent="0.25">
      <c r="C5" s="124">
        <v>1</v>
      </c>
      <c r="D5" s="59">
        <f>C5*0.7</f>
        <v>0.7</v>
      </c>
      <c r="E5" s="69">
        <f>'NGẬP MẶN'!G17+'NGẬP MẶN'!G27</f>
        <v>214695724</v>
      </c>
      <c r="F5" s="98">
        <f>E5/4400</f>
        <v>48794.482727272727</v>
      </c>
      <c r="G5" s="99">
        <f>F5</f>
        <v>48794.482727272727</v>
      </c>
      <c r="H5" s="99"/>
      <c r="I5" s="60">
        <v>0</v>
      </c>
      <c r="J5" s="104">
        <f>G5+H5+I5</f>
        <v>48794.482727272727</v>
      </c>
      <c r="K5" s="60"/>
    </row>
    <row r="6" spans="1:14" x14ac:dyDescent="0.25">
      <c r="C6" s="124">
        <v>2</v>
      </c>
      <c r="D6" s="59">
        <f t="shared" ref="D6:D34" si="0">C6*0.7</f>
        <v>1.4</v>
      </c>
      <c r="E6" s="69">
        <f>'NGẬP MẶN'!G37</f>
        <v>11506374.18</v>
      </c>
      <c r="F6" s="98">
        <f t="shared" ref="F6:F34" si="1">E6/4400</f>
        <v>2615.0850409090908</v>
      </c>
      <c r="G6" s="99">
        <f>F6+G5</f>
        <v>51409.56776818182</v>
      </c>
      <c r="H6" s="99"/>
      <c r="I6" s="60">
        <v>0</v>
      </c>
      <c r="J6" s="104">
        <f t="shared" ref="J6:J34" si="2">G6+H6+I6</f>
        <v>51409.56776818182</v>
      </c>
      <c r="K6" s="60"/>
    </row>
    <row r="7" spans="1:14" x14ac:dyDescent="0.25">
      <c r="C7" s="124">
        <v>3</v>
      </c>
      <c r="D7" s="59">
        <f t="shared" si="0"/>
        <v>2.0999999999999996</v>
      </c>
      <c r="E7" s="69">
        <f>'NGẬP MẶN'!G41</f>
        <v>8251422.1943999995</v>
      </c>
      <c r="F7" s="98">
        <f t="shared" si="1"/>
        <v>1875.323226</v>
      </c>
      <c r="G7" s="99">
        <f>F7+G6</f>
        <v>53284.89099418182</v>
      </c>
      <c r="H7" s="99"/>
      <c r="I7" s="60">
        <v>0</v>
      </c>
      <c r="J7" s="104">
        <f t="shared" si="2"/>
        <v>53284.89099418182</v>
      </c>
      <c r="K7" s="60">
        <v>2</v>
      </c>
    </row>
    <row r="8" spans="1:14" x14ac:dyDescent="0.25">
      <c r="C8" s="124">
        <v>4</v>
      </c>
      <c r="D8" s="59">
        <f t="shared" si="0"/>
        <v>2.8</v>
      </c>
      <c r="E8" s="69">
        <f>'NGẬP MẶN'!G45</f>
        <v>5939037.1200000001</v>
      </c>
      <c r="F8" s="98">
        <f t="shared" si="1"/>
        <v>1349.7811636363638</v>
      </c>
      <c r="G8" s="99">
        <f>F8+G7</f>
        <v>54634.672157818182</v>
      </c>
      <c r="H8" s="99"/>
      <c r="I8" s="60">
        <v>0</v>
      </c>
      <c r="J8" s="104">
        <f t="shared" si="2"/>
        <v>54634.672157818182</v>
      </c>
      <c r="K8" s="60"/>
    </row>
    <row r="9" spans="1:14" x14ac:dyDescent="0.25">
      <c r="C9" s="124">
        <v>5</v>
      </c>
      <c r="D9" s="59">
        <f t="shared" si="0"/>
        <v>3.5</v>
      </c>
      <c r="E9" s="69">
        <f>'NGẬP MẶN'!G48</f>
        <v>5939037.1200000001</v>
      </c>
      <c r="F9" s="98">
        <f t="shared" si="1"/>
        <v>1349.7811636363638</v>
      </c>
      <c r="G9" s="99">
        <f t="shared" ref="G9:G34" si="3">F9+G8</f>
        <v>55984.453321454544</v>
      </c>
      <c r="H9" s="99">
        <f t="shared" ref="H9:H34" si="4">G9*1</f>
        <v>55984.453321454544</v>
      </c>
      <c r="I9" s="76">
        <v>24083.406635071089</v>
      </c>
      <c r="J9" s="104">
        <f t="shared" si="2"/>
        <v>136052.31327798017</v>
      </c>
      <c r="K9" s="60"/>
      <c r="M9">
        <v>25407994</v>
      </c>
      <c r="N9" s="100">
        <f>M9/1055</f>
        <v>24083.406635071089</v>
      </c>
    </row>
    <row r="10" spans="1:14" x14ac:dyDescent="0.25">
      <c r="C10" s="124">
        <v>6</v>
      </c>
      <c r="D10" s="59">
        <f t="shared" si="0"/>
        <v>4.1999999999999993</v>
      </c>
      <c r="E10" s="69">
        <f>'NGẬP MẶN'!G51</f>
        <v>2973603</v>
      </c>
      <c r="F10" s="98">
        <f t="shared" si="1"/>
        <v>675.81886363636363</v>
      </c>
      <c r="G10" s="99">
        <f t="shared" si="3"/>
        <v>56660.272185090907</v>
      </c>
      <c r="H10" s="99">
        <f t="shared" si="4"/>
        <v>56660.272185090907</v>
      </c>
      <c r="I10" s="76">
        <v>25730.711848341231</v>
      </c>
      <c r="J10" s="104">
        <f t="shared" si="2"/>
        <v>139051.25621852305</v>
      </c>
      <c r="K10" s="60">
        <v>4</v>
      </c>
      <c r="M10">
        <v>27145901</v>
      </c>
      <c r="N10" s="100">
        <f t="shared" ref="N10:N34" si="5">M10/1055</f>
        <v>25730.711848341231</v>
      </c>
    </row>
    <row r="11" spans="1:14" x14ac:dyDescent="0.25">
      <c r="C11" s="124">
        <v>7</v>
      </c>
      <c r="D11" s="59">
        <f t="shared" si="0"/>
        <v>4.8999999999999995</v>
      </c>
      <c r="E11" s="69">
        <f t="shared" ref="E11:E34" si="6">E10</f>
        <v>2973603</v>
      </c>
      <c r="F11" s="98">
        <f t="shared" si="1"/>
        <v>675.81886363636363</v>
      </c>
      <c r="G11" s="99">
        <f t="shared" si="3"/>
        <v>57336.09104872727</v>
      </c>
      <c r="H11" s="99">
        <f t="shared" si="4"/>
        <v>57336.09104872727</v>
      </c>
      <c r="I11" s="76">
        <v>27490.691943127964</v>
      </c>
      <c r="J11" s="104">
        <f t="shared" si="2"/>
        <v>142162.87404058251</v>
      </c>
      <c r="K11" s="60"/>
      <c r="M11">
        <v>29002680</v>
      </c>
      <c r="N11" s="100">
        <f t="shared" si="5"/>
        <v>27490.691943127964</v>
      </c>
    </row>
    <row r="12" spans="1:14" x14ac:dyDescent="0.25">
      <c r="C12" s="124">
        <v>8</v>
      </c>
      <c r="D12" s="59">
        <f t="shared" si="0"/>
        <v>5.6</v>
      </c>
      <c r="E12" s="69">
        <f t="shared" si="6"/>
        <v>2973603</v>
      </c>
      <c r="F12" s="98">
        <f t="shared" si="1"/>
        <v>675.81886363636363</v>
      </c>
      <c r="G12" s="99">
        <f t="shared" si="3"/>
        <v>58011.909912363633</v>
      </c>
      <c r="H12" s="99">
        <f t="shared" si="4"/>
        <v>58011.909912363633</v>
      </c>
      <c r="I12" s="76">
        <v>29371.055924170618</v>
      </c>
      <c r="J12" s="104">
        <f t="shared" si="2"/>
        <v>145394.87574889787</v>
      </c>
      <c r="K12" s="60"/>
      <c r="M12">
        <v>30986464</v>
      </c>
      <c r="N12" s="100">
        <f t="shared" si="5"/>
        <v>29371.055924170618</v>
      </c>
    </row>
    <row r="13" spans="1:14" x14ac:dyDescent="0.25">
      <c r="C13" s="124">
        <v>9</v>
      </c>
      <c r="D13" s="59">
        <f t="shared" si="0"/>
        <v>6.3</v>
      </c>
      <c r="E13" s="69">
        <f t="shared" si="6"/>
        <v>2973603</v>
      </c>
      <c r="F13" s="98">
        <f t="shared" si="1"/>
        <v>675.81886363636363</v>
      </c>
      <c r="G13" s="99">
        <f t="shared" si="3"/>
        <v>58687.728775999996</v>
      </c>
      <c r="H13" s="99">
        <f t="shared" si="4"/>
        <v>58687.728775999996</v>
      </c>
      <c r="I13" s="76">
        <v>31380.036018957348</v>
      </c>
      <c r="J13" s="104">
        <f t="shared" si="2"/>
        <v>148755.49357095733</v>
      </c>
      <c r="K13" s="60">
        <v>6</v>
      </c>
      <c r="M13">
        <v>33105938</v>
      </c>
      <c r="N13" s="100">
        <f t="shared" si="5"/>
        <v>31380.036018957348</v>
      </c>
    </row>
    <row r="14" spans="1:14" x14ac:dyDescent="0.25">
      <c r="C14" s="124">
        <v>10</v>
      </c>
      <c r="D14" s="59">
        <f t="shared" si="0"/>
        <v>7</v>
      </c>
      <c r="E14" s="69">
        <f t="shared" si="6"/>
        <v>2973603</v>
      </c>
      <c r="F14" s="98">
        <f t="shared" si="1"/>
        <v>675.81886363636363</v>
      </c>
      <c r="G14" s="99">
        <f t="shared" si="3"/>
        <v>59363.547639636359</v>
      </c>
      <c r="H14" s="99">
        <f t="shared" si="4"/>
        <v>59363.547639636359</v>
      </c>
      <c r="I14" s="76">
        <v>33526.396208530809</v>
      </c>
      <c r="J14" s="104">
        <f t="shared" si="2"/>
        <v>152253.49148780352</v>
      </c>
      <c r="K14" s="60"/>
      <c r="M14">
        <v>35370348</v>
      </c>
      <c r="N14" s="100">
        <f t="shared" si="5"/>
        <v>33526.396208530809</v>
      </c>
    </row>
    <row r="15" spans="1:14" x14ac:dyDescent="0.25">
      <c r="C15" s="124">
        <v>11</v>
      </c>
      <c r="D15" s="59">
        <f t="shared" si="0"/>
        <v>7.6999999999999993</v>
      </c>
      <c r="E15" s="69">
        <f t="shared" si="6"/>
        <v>2973603</v>
      </c>
      <c r="F15" s="98">
        <f t="shared" si="1"/>
        <v>675.81886363636363</v>
      </c>
      <c r="G15" s="99">
        <f t="shared" si="3"/>
        <v>60039.366503272722</v>
      </c>
      <c r="H15" s="99">
        <f t="shared" si="4"/>
        <v>60039.366503272722</v>
      </c>
      <c r="I15" s="76">
        <v>35819.637914691943</v>
      </c>
      <c r="J15" s="104">
        <f t="shared" si="2"/>
        <v>155898.37092123739</v>
      </c>
      <c r="K15" s="60"/>
      <c r="M15">
        <v>37789718</v>
      </c>
      <c r="N15" s="100">
        <f t="shared" si="5"/>
        <v>35819.637914691943</v>
      </c>
    </row>
    <row r="16" spans="1:14" x14ac:dyDescent="0.25">
      <c r="C16" s="124">
        <v>12</v>
      </c>
      <c r="D16" s="59">
        <f t="shared" si="0"/>
        <v>8.3999999999999986</v>
      </c>
      <c r="E16" s="69">
        <f t="shared" si="6"/>
        <v>2973603</v>
      </c>
      <c r="F16" s="98">
        <f t="shared" si="1"/>
        <v>675.81886363636363</v>
      </c>
      <c r="G16" s="99">
        <f t="shared" si="3"/>
        <v>60715.185366909085</v>
      </c>
      <c r="H16" s="99">
        <f t="shared" si="4"/>
        <v>60715.185366909085</v>
      </c>
      <c r="I16" s="76">
        <v>38269.70142180095</v>
      </c>
      <c r="J16" s="104">
        <f t="shared" si="2"/>
        <v>159700.07215561913</v>
      </c>
      <c r="K16" s="60">
        <v>8</v>
      </c>
      <c r="M16">
        <v>40374535</v>
      </c>
      <c r="N16" s="100">
        <f t="shared" si="5"/>
        <v>38269.70142180095</v>
      </c>
    </row>
    <row r="17" spans="3:14" x14ac:dyDescent="0.25">
      <c r="C17" s="124">
        <v>13</v>
      </c>
      <c r="D17" s="59">
        <f t="shared" si="0"/>
        <v>9.1</v>
      </c>
      <c r="E17" s="69">
        <f t="shared" si="6"/>
        <v>2973603</v>
      </c>
      <c r="F17" s="98">
        <f t="shared" si="1"/>
        <v>675.81886363636363</v>
      </c>
      <c r="G17" s="99">
        <f t="shared" si="3"/>
        <v>61391.004230545448</v>
      </c>
      <c r="H17" s="99">
        <f t="shared" si="4"/>
        <v>61391.004230545448</v>
      </c>
      <c r="I17" s="76">
        <v>40887.348815165875</v>
      </c>
      <c r="J17" s="104">
        <f t="shared" si="2"/>
        <v>163669.35727625678</v>
      </c>
      <c r="K17" s="60"/>
      <c r="M17">
        <v>43136153</v>
      </c>
      <c r="N17" s="100">
        <f t="shared" si="5"/>
        <v>40887.348815165875</v>
      </c>
    </row>
    <row r="18" spans="3:14" x14ac:dyDescent="0.25">
      <c r="C18" s="124">
        <v>14</v>
      </c>
      <c r="D18" s="59">
        <f t="shared" si="0"/>
        <v>9.7999999999999989</v>
      </c>
      <c r="E18" s="69">
        <f t="shared" si="6"/>
        <v>2973603</v>
      </c>
      <c r="F18" s="98">
        <f t="shared" si="1"/>
        <v>675.81886363636363</v>
      </c>
      <c r="G18" s="99">
        <f t="shared" si="3"/>
        <v>62066.823094181811</v>
      </c>
      <c r="H18" s="99">
        <f t="shared" si="4"/>
        <v>62066.823094181811</v>
      </c>
      <c r="I18" s="76">
        <v>43684.043601895733</v>
      </c>
      <c r="J18" s="104">
        <f t="shared" si="2"/>
        <v>167817.68979025935</v>
      </c>
      <c r="K18" s="60"/>
      <c r="M18">
        <v>46086666</v>
      </c>
      <c r="N18" s="100">
        <f t="shared" si="5"/>
        <v>43684.043601895733</v>
      </c>
    </row>
    <row r="19" spans="3:14" x14ac:dyDescent="0.25">
      <c r="C19" s="124">
        <v>15</v>
      </c>
      <c r="D19" s="59">
        <f t="shared" si="0"/>
        <v>10.5</v>
      </c>
      <c r="E19" s="69">
        <f t="shared" si="6"/>
        <v>2973603</v>
      </c>
      <c r="F19" s="98">
        <f t="shared" si="1"/>
        <v>675.81886363636363</v>
      </c>
      <c r="G19" s="99">
        <f t="shared" si="3"/>
        <v>62742.641957818174</v>
      </c>
      <c r="H19" s="99">
        <f t="shared" si="4"/>
        <v>62742.641957818174</v>
      </c>
      <c r="I19" s="76">
        <v>46672.032227488155</v>
      </c>
      <c r="J19" s="104">
        <f t="shared" si="2"/>
        <v>172157.31614312451</v>
      </c>
      <c r="K19" s="60">
        <v>10</v>
      </c>
      <c r="M19">
        <v>49238994</v>
      </c>
      <c r="N19" s="100">
        <f t="shared" si="5"/>
        <v>46672.032227488155</v>
      </c>
    </row>
    <row r="20" spans="3:14" x14ac:dyDescent="0.25">
      <c r="C20" s="124">
        <v>16</v>
      </c>
      <c r="D20" s="59">
        <f t="shared" si="0"/>
        <v>11.2</v>
      </c>
      <c r="E20" s="69">
        <f t="shared" si="6"/>
        <v>2973603</v>
      </c>
      <c r="F20" s="98">
        <f t="shared" si="1"/>
        <v>675.81886363636363</v>
      </c>
      <c r="G20" s="99">
        <f t="shared" si="3"/>
        <v>63418.460821454537</v>
      </c>
      <c r="H20" s="99">
        <f t="shared" si="4"/>
        <v>63418.460821454537</v>
      </c>
      <c r="I20" s="76">
        <v>49864.3990521327</v>
      </c>
      <c r="J20" s="104">
        <f t="shared" si="2"/>
        <v>176701.32069504177</v>
      </c>
      <c r="K20" s="60"/>
      <c r="M20">
        <v>52606941</v>
      </c>
      <c r="N20" s="100">
        <f t="shared" si="5"/>
        <v>49864.3990521327</v>
      </c>
    </row>
    <row r="21" spans="3:14" x14ac:dyDescent="0.25">
      <c r="C21" s="124">
        <v>17</v>
      </c>
      <c r="D21" s="59">
        <f t="shared" si="0"/>
        <v>11.899999999999999</v>
      </c>
      <c r="E21" s="69">
        <f t="shared" si="6"/>
        <v>2973603</v>
      </c>
      <c r="F21" s="98">
        <f t="shared" si="1"/>
        <v>675.81886363636363</v>
      </c>
      <c r="G21" s="99">
        <f t="shared" si="3"/>
        <v>64094.2796850909</v>
      </c>
      <c r="H21" s="99">
        <f t="shared" si="4"/>
        <v>64094.2796850909</v>
      </c>
      <c r="I21" s="76">
        <v>53275.124170616116</v>
      </c>
      <c r="J21" s="104">
        <f t="shared" si="2"/>
        <v>181463.68354079791</v>
      </c>
      <c r="K21" s="60">
        <v>12</v>
      </c>
      <c r="M21">
        <v>56205256</v>
      </c>
      <c r="N21" s="100">
        <f t="shared" si="5"/>
        <v>53275.124170616116</v>
      </c>
    </row>
    <row r="22" spans="3:14" x14ac:dyDescent="0.25">
      <c r="C22" s="124">
        <v>18</v>
      </c>
      <c r="D22" s="59">
        <f t="shared" si="0"/>
        <v>12.6</v>
      </c>
      <c r="E22" s="69">
        <f t="shared" si="6"/>
        <v>2973603</v>
      </c>
      <c r="F22" s="98">
        <f t="shared" si="1"/>
        <v>675.81886363636363</v>
      </c>
      <c r="G22" s="99">
        <f t="shared" si="3"/>
        <v>64770.098548727263</v>
      </c>
      <c r="H22" s="99">
        <f t="shared" si="4"/>
        <v>64770.098548727263</v>
      </c>
      <c r="I22" s="76">
        <v>56919.108056872035</v>
      </c>
      <c r="J22" s="104">
        <f t="shared" si="2"/>
        <v>186459.30515432655</v>
      </c>
      <c r="K22" s="60"/>
      <c r="M22">
        <v>60049659</v>
      </c>
      <c r="N22" s="100">
        <f t="shared" si="5"/>
        <v>56919.108056872035</v>
      </c>
    </row>
    <row r="23" spans="3:14" x14ac:dyDescent="0.25">
      <c r="C23" s="124">
        <v>19</v>
      </c>
      <c r="D23" s="59">
        <f t="shared" si="0"/>
        <v>13.299999999999999</v>
      </c>
      <c r="E23" s="69">
        <f t="shared" si="6"/>
        <v>2973603</v>
      </c>
      <c r="F23" s="98">
        <f t="shared" si="1"/>
        <v>675.81886363636363</v>
      </c>
      <c r="G23" s="99">
        <f t="shared" si="3"/>
        <v>65445.917412363626</v>
      </c>
      <c r="H23" s="99">
        <f t="shared" si="4"/>
        <v>65445.917412363626</v>
      </c>
      <c r="I23" s="76">
        <v>60812.41137440758</v>
      </c>
      <c r="J23" s="104">
        <f t="shared" si="2"/>
        <v>191704.24619913482</v>
      </c>
      <c r="K23" s="60"/>
      <c r="M23">
        <v>64157094</v>
      </c>
      <c r="N23" s="100">
        <f t="shared" si="5"/>
        <v>60812.41137440758</v>
      </c>
    </row>
    <row r="24" spans="3:14" x14ac:dyDescent="0.25">
      <c r="C24" s="124">
        <v>20</v>
      </c>
      <c r="D24" s="59">
        <f t="shared" si="0"/>
        <v>14</v>
      </c>
      <c r="E24" s="69">
        <f t="shared" si="6"/>
        <v>2973603</v>
      </c>
      <c r="F24" s="98">
        <f t="shared" si="1"/>
        <v>675.81886363636363</v>
      </c>
      <c r="G24" s="99">
        <f t="shared" si="3"/>
        <v>66121.736275999996</v>
      </c>
      <c r="H24" s="99">
        <f t="shared" si="4"/>
        <v>66121.736275999996</v>
      </c>
      <c r="I24" s="76">
        <v>64971.981042654028</v>
      </c>
      <c r="J24" s="104">
        <f t="shared" si="2"/>
        <v>197215.45359465401</v>
      </c>
      <c r="K24" s="60">
        <v>14</v>
      </c>
      <c r="M24">
        <v>68545440</v>
      </c>
      <c r="N24" s="100">
        <f t="shared" si="5"/>
        <v>64971.981042654028</v>
      </c>
    </row>
    <row r="25" spans="3:14" x14ac:dyDescent="0.25">
      <c r="C25" s="124">
        <v>21</v>
      </c>
      <c r="D25" s="59">
        <f t="shared" si="0"/>
        <v>14.7</v>
      </c>
      <c r="E25" s="69">
        <f t="shared" si="6"/>
        <v>2973603</v>
      </c>
      <c r="F25" s="98">
        <f t="shared" si="1"/>
        <v>675.81886363636363</v>
      </c>
      <c r="G25" s="99">
        <f t="shared" si="3"/>
        <v>66797.555139636359</v>
      </c>
      <c r="H25" s="99">
        <f t="shared" si="4"/>
        <v>66797.555139636359</v>
      </c>
      <c r="I25" s="76">
        <v>69416.064454976309</v>
      </c>
      <c r="J25" s="104">
        <f t="shared" si="2"/>
        <v>203011.17473424901</v>
      </c>
      <c r="K25" s="60"/>
      <c r="M25">
        <v>73233948</v>
      </c>
      <c r="N25" s="100">
        <f t="shared" si="5"/>
        <v>69416.064454976309</v>
      </c>
    </row>
    <row r="26" spans="3:14" x14ac:dyDescent="0.25">
      <c r="C26" s="124">
        <v>22</v>
      </c>
      <c r="D26" s="59">
        <f t="shared" si="0"/>
        <v>15.399999999999999</v>
      </c>
      <c r="E26" s="69">
        <f t="shared" si="6"/>
        <v>2973603</v>
      </c>
      <c r="F26" s="98">
        <f t="shared" si="1"/>
        <v>675.81886363636363</v>
      </c>
      <c r="G26" s="99">
        <f t="shared" si="3"/>
        <v>67473.374003272722</v>
      </c>
      <c r="H26" s="99">
        <f t="shared" si="4"/>
        <v>67473.374003272722</v>
      </c>
      <c r="I26" s="76">
        <v>74164.123222748822</v>
      </c>
      <c r="J26" s="104">
        <f t="shared" si="2"/>
        <v>209110.87122929428</v>
      </c>
      <c r="K26" s="60"/>
      <c r="M26">
        <v>78243150</v>
      </c>
      <c r="N26" s="100">
        <f t="shared" si="5"/>
        <v>74164.123222748822</v>
      </c>
    </row>
    <row r="27" spans="3:14" x14ac:dyDescent="0.25">
      <c r="C27" s="124">
        <v>23</v>
      </c>
      <c r="D27" s="59">
        <f t="shared" si="0"/>
        <v>16.099999999999998</v>
      </c>
      <c r="E27" s="69">
        <f t="shared" si="6"/>
        <v>2973603</v>
      </c>
      <c r="F27" s="98">
        <f t="shared" si="1"/>
        <v>675.81886363636363</v>
      </c>
      <c r="G27" s="99">
        <f t="shared" si="3"/>
        <v>68149.192866909085</v>
      </c>
      <c r="H27" s="99">
        <f t="shared" si="4"/>
        <v>68149.192866909085</v>
      </c>
      <c r="I27" s="76">
        <v>79236.948815165873</v>
      </c>
      <c r="J27" s="104">
        <f t="shared" si="2"/>
        <v>215535.33454898404</v>
      </c>
      <c r="K27" s="60">
        <v>16</v>
      </c>
      <c r="M27">
        <v>83594981</v>
      </c>
      <c r="N27" s="100">
        <f t="shared" si="5"/>
        <v>79236.948815165873</v>
      </c>
    </row>
    <row r="28" spans="3:14" x14ac:dyDescent="0.25">
      <c r="C28" s="124">
        <v>24</v>
      </c>
      <c r="D28" s="59">
        <f t="shared" si="0"/>
        <v>16.799999999999997</v>
      </c>
      <c r="E28" s="69">
        <f t="shared" si="6"/>
        <v>2973603</v>
      </c>
      <c r="F28" s="98">
        <f t="shared" si="1"/>
        <v>675.81886363636363</v>
      </c>
      <c r="G28" s="99">
        <f t="shared" si="3"/>
        <v>68825.011730545448</v>
      </c>
      <c r="H28" s="99">
        <f t="shared" si="4"/>
        <v>68825.011730545448</v>
      </c>
      <c r="I28" s="76">
        <v>84656.756398104262</v>
      </c>
      <c r="J28" s="104">
        <f t="shared" si="2"/>
        <v>222306.77985919517</v>
      </c>
      <c r="K28" s="60"/>
      <c r="M28">
        <v>89312878</v>
      </c>
      <c r="N28" s="100">
        <f t="shared" si="5"/>
        <v>84656.756398104262</v>
      </c>
    </row>
    <row r="29" spans="3:14" x14ac:dyDescent="0.25">
      <c r="C29" s="124">
        <v>25</v>
      </c>
      <c r="D29" s="59">
        <f t="shared" si="0"/>
        <v>17.5</v>
      </c>
      <c r="E29" s="69">
        <f t="shared" si="6"/>
        <v>2973603</v>
      </c>
      <c r="F29" s="98">
        <f t="shared" si="1"/>
        <v>675.81886363636363</v>
      </c>
      <c r="G29" s="99">
        <f t="shared" si="3"/>
        <v>69500.830594181811</v>
      </c>
      <c r="H29" s="99">
        <f t="shared" si="4"/>
        <v>69500.830594181811</v>
      </c>
      <c r="I29" s="76">
        <v>90447.278672985776</v>
      </c>
      <c r="J29" s="104">
        <f t="shared" si="2"/>
        <v>229448.93986134941</v>
      </c>
      <c r="K29" s="60"/>
      <c r="M29">
        <v>95421879</v>
      </c>
      <c r="N29" s="100">
        <f t="shared" si="5"/>
        <v>90447.278672985776</v>
      </c>
    </row>
    <row r="30" spans="3:14" x14ac:dyDescent="0.25">
      <c r="C30" s="124">
        <v>26</v>
      </c>
      <c r="D30" s="59">
        <f t="shared" si="0"/>
        <v>18.2</v>
      </c>
      <c r="E30" s="69">
        <f t="shared" si="6"/>
        <v>2973603</v>
      </c>
      <c r="F30" s="98">
        <f t="shared" si="1"/>
        <v>675.81886363636363</v>
      </c>
      <c r="G30" s="99">
        <f t="shared" si="3"/>
        <v>70176.649457818174</v>
      </c>
      <c r="H30" s="99">
        <f t="shared" si="4"/>
        <v>70176.649457818174</v>
      </c>
      <c r="I30" s="76">
        <v>96633.872037914698</v>
      </c>
      <c r="J30" s="104">
        <f t="shared" si="2"/>
        <v>236987.17095355105</v>
      </c>
      <c r="K30" s="60">
        <v>18</v>
      </c>
      <c r="M30">
        <v>101948735</v>
      </c>
      <c r="N30" s="100">
        <f t="shared" si="5"/>
        <v>96633.872037914698</v>
      </c>
    </row>
    <row r="31" spans="3:14" x14ac:dyDescent="0.25">
      <c r="C31" s="124">
        <v>27</v>
      </c>
      <c r="D31" s="59">
        <f t="shared" si="0"/>
        <v>18.899999999999999</v>
      </c>
      <c r="E31" s="69">
        <f t="shared" si="6"/>
        <v>2973603</v>
      </c>
      <c r="F31" s="98">
        <f t="shared" si="1"/>
        <v>675.81886363636363</v>
      </c>
      <c r="G31" s="99">
        <f t="shared" si="3"/>
        <v>70852.468321454537</v>
      </c>
      <c r="H31" s="99">
        <f t="shared" si="4"/>
        <v>70852.468321454537</v>
      </c>
      <c r="I31" s="76">
        <v>103243.62938388626</v>
      </c>
      <c r="J31" s="104">
        <f t="shared" si="2"/>
        <v>244948.56602679534</v>
      </c>
      <c r="K31" s="60"/>
      <c r="M31">
        <v>108922029</v>
      </c>
      <c r="N31" s="100">
        <f t="shared" si="5"/>
        <v>103243.62938388626</v>
      </c>
    </row>
    <row r="32" spans="3:14" x14ac:dyDescent="0.25">
      <c r="C32" s="124">
        <v>28</v>
      </c>
      <c r="D32" s="59">
        <f t="shared" si="0"/>
        <v>19.599999999999998</v>
      </c>
      <c r="E32" s="69">
        <f t="shared" si="6"/>
        <v>2973603</v>
      </c>
      <c r="F32" s="98">
        <f t="shared" si="1"/>
        <v>675.81886363636363</v>
      </c>
      <c r="G32" s="99">
        <f t="shared" si="3"/>
        <v>71528.2871850909</v>
      </c>
      <c r="H32" s="99">
        <f t="shared" si="4"/>
        <v>71528.2871850909</v>
      </c>
      <c r="I32" s="76">
        <v>110305.49383886256</v>
      </c>
      <c r="J32" s="104">
        <f t="shared" si="2"/>
        <v>253362.06820904434</v>
      </c>
      <c r="K32" s="60"/>
      <c r="M32">
        <v>116372296</v>
      </c>
      <c r="N32" s="100">
        <f t="shared" si="5"/>
        <v>110305.49383886256</v>
      </c>
    </row>
    <row r="33" spans="3:14" x14ac:dyDescent="0.25">
      <c r="C33" s="124">
        <v>29</v>
      </c>
      <c r="D33" s="59">
        <f t="shared" si="0"/>
        <v>20.299999999999997</v>
      </c>
      <c r="E33" s="69">
        <f t="shared" si="6"/>
        <v>2973603</v>
      </c>
      <c r="F33" s="98">
        <f t="shared" si="1"/>
        <v>675.81886363636363</v>
      </c>
      <c r="G33" s="99">
        <f t="shared" si="3"/>
        <v>72204.106048727263</v>
      </c>
      <c r="H33" s="99">
        <f t="shared" si="4"/>
        <v>72204.106048727263</v>
      </c>
      <c r="I33" s="76">
        <v>117850.38957345972</v>
      </c>
      <c r="J33" s="104">
        <f t="shared" si="2"/>
        <v>262258.60167091421</v>
      </c>
      <c r="K33" s="60">
        <v>20</v>
      </c>
      <c r="M33">
        <v>124332161</v>
      </c>
      <c r="N33" s="100">
        <f t="shared" si="5"/>
        <v>117850.38957345972</v>
      </c>
    </row>
    <row r="34" spans="3:14" x14ac:dyDescent="0.25">
      <c r="C34" s="124">
        <v>30</v>
      </c>
      <c r="D34" s="59">
        <f t="shared" si="0"/>
        <v>21</v>
      </c>
      <c r="E34" s="69">
        <f t="shared" si="6"/>
        <v>2973603</v>
      </c>
      <c r="F34" s="98">
        <f t="shared" si="1"/>
        <v>675.81886363636363</v>
      </c>
      <c r="G34" s="99">
        <f t="shared" si="3"/>
        <v>72879.924912363625</v>
      </c>
      <c r="H34" s="99">
        <f t="shared" si="4"/>
        <v>72879.924912363625</v>
      </c>
      <c r="I34" s="76">
        <v>125911.35545023697</v>
      </c>
      <c r="J34" s="104">
        <f t="shared" si="2"/>
        <v>271671.20527496422</v>
      </c>
      <c r="K34" s="60"/>
      <c r="M34">
        <v>132836480</v>
      </c>
      <c r="N34" s="100">
        <f t="shared" si="5"/>
        <v>125911.35545023697</v>
      </c>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6:F20"/>
  <sheetViews>
    <sheetView tabSelected="1" workbookViewId="0">
      <selection activeCell="O25" sqref="O25"/>
    </sheetView>
  </sheetViews>
  <sheetFormatPr defaultRowHeight="15.75" x14ac:dyDescent="0.25"/>
  <cols>
    <col min="3" max="3" width="25.25" customWidth="1"/>
    <col min="4" max="4" width="13.75" customWidth="1"/>
    <col min="5" max="5" width="18" customWidth="1"/>
    <col min="6" max="6" width="11.875" customWidth="1"/>
  </cols>
  <sheetData>
    <row r="6" spans="3:6" x14ac:dyDescent="0.25">
      <c r="C6" s="140" t="s">
        <v>149</v>
      </c>
      <c r="D6" s="140"/>
    </row>
    <row r="9" spans="3:6" ht="31.5" x14ac:dyDescent="0.25">
      <c r="C9" s="62" t="s">
        <v>100</v>
      </c>
      <c r="D9" s="105" t="s">
        <v>148</v>
      </c>
      <c r="E9" s="105" t="s">
        <v>138</v>
      </c>
      <c r="F9" s="62" t="s">
        <v>4</v>
      </c>
    </row>
    <row r="10" spans="3:6" ht="15.75" customHeight="1" x14ac:dyDescent="0.25">
      <c r="C10" s="119" t="s">
        <v>121</v>
      </c>
      <c r="D10" s="70" t="s">
        <v>141</v>
      </c>
      <c r="E10" s="72">
        <f>('quy đổi ra 01 cây'!J5+'quy đổi ra 01 cây'!J6+'quy đổi ra 01 cây'!J7)/3</f>
        <v>51162.98049654546</v>
      </c>
      <c r="F10" s="119" t="s">
        <v>106</v>
      </c>
    </row>
    <row r="11" spans="3:6" x14ac:dyDescent="0.25">
      <c r="C11" s="119"/>
      <c r="D11" s="73" t="s">
        <v>123</v>
      </c>
      <c r="E11" s="72">
        <f>('quy đổi ra 01 cây'!J7+'quy đổi ra 01 cây'!J8+'quy đổi ra 01 cây'!J9+'quy đổi ra 01 cây'!J10)/4</f>
        <v>95755.783162125794</v>
      </c>
      <c r="F11" s="119"/>
    </row>
    <row r="12" spans="3:6" x14ac:dyDescent="0.25">
      <c r="C12" s="119"/>
      <c r="D12" s="70" t="s">
        <v>124</v>
      </c>
      <c r="E12" s="72">
        <f>('quy đổi ra 01 cây'!J10+'quy đổi ra 01 cây'!J11+'quy đổi ra 01 cây'!J12+'quy đổi ra 01 cây'!J13)/4</f>
        <v>143841.12489474021</v>
      </c>
      <c r="F12" s="119"/>
    </row>
    <row r="13" spans="3:6" x14ac:dyDescent="0.25">
      <c r="C13" s="119"/>
      <c r="D13" s="70" t="s">
        <v>125</v>
      </c>
      <c r="E13" s="72">
        <f>('quy đổi ra 01 cây'!J13+'quy đổi ra 01 cây'!J14+'quy đổi ra 01 cây'!J15+'quy đổi ra 01 cây'!J16)/4</f>
        <v>154151.85703390435</v>
      </c>
      <c r="F13" s="119"/>
    </row>
    <row r="14" spans="3:6" x14ac:dyDescent="0.25">
      <c r="C14" s="119"/>
      <c r="D14" s="70" t="s">
        <v>126</v>
      </c>
      <c r="E14" s="72">
        <f>('quy đổi ra 01 cây'!J16+'quy đổi ra 01 cây'!J17+'quy đổi ra 01 cây'!J18+'quy đổi ra 01 cây'!J19)/4</f>
        <v>165836.10884131494</v>
      </c>
      <c r="F14" s="119"/>
    </row>
    <row r="15" spans="3:6" x14ac:dyDescent="0.25">
      <c r="C15" s="119"/>
      <c r="D15" s="70" t="s">
        <v>127</v>
      </c>
      <c r="E15" s="72">
        <f>('quy đổi ra 01 cây'!J19+'quy đổi ra 01 cây'!J20+'quy đổi ra 01 cây'!J21)/3</f>
        <v>176774.10679298805</v>
      </c>
      <c r="F15" s="119"/>
    </row>
    <row r="16" spans="3:6" x14ac:dyDescent="0.25">
      <c r="C16" s="119"/>
      <c r="D16" s="70" t="s">
        <v>128</v>
      </c>
      <c r="E16" s="72">
        <f>('quy đổi ra 01 cây'!J21+'quy đổi ra 01 cây'!J22+'quy đổi ra 01 cây'!J23+'quy đổi ra 01 cây'!J24)/4</f>
        <v>189210.67212222831</v>
      </c>
      <c r="F16" s="119"/>
    </row>
    <row r="17" spans="3:6" x14ac:dyDescent="0.25">
      <c r="C17" s="119"/>
      <c r="D17" s="70" t="s">
        <v>129</v>
      </c>
      <c r="E17" s="76">
        <f>('quy đổi ra 01 cây'!J24+'quy đổi ra 01 cây'!J25+'quy đổi ra 01 cây'!J26+'quy đổi ra 01 cây'!J27)/4</f>
        <v>206218.20852679535</v>
      </c>
      <c r="F17" s="119"/>
    </row>
    <row r="18" spans="3:6" x14ac:dyDescent="0.25">
      <c r="C18" s="119"/>
      <c r="D18" s="70" t="s">
        <v>130</v>
      </c>
      <c r="E18" s="76">
        <f>('quy đổi ra 01 cây'!J27+'quy đổi ra 01 cây'!J28+'quy đổi ra 01 cây'!J29+'quy đổi ra 01 cây'!J30)/4</f>
        <v>226069.55630576992</v>
      </c>
      <c r="F18" s="119"/>
    </row>
    <row r="19" spans="3:6" x14ac:dyDescent="0.25">
      <c r="C19" s="119"/>
      <c r="D19" s="70" t="s">
        <v>131</v>
      </c>
      <c r="E19" s="76">
        <f>('quy đổi ra 01 cây'!J30+'quy đổi ra 01 cây'!J31+'quy đổi ra 01 cây'!J32+'quy đổi ra 01 cây'!J33)/4</f>
        <v>249389.10171507622</v>
      </c>
      <c r="F19" s="119"/>
    </row>
    <row r="20" spans="3:6" x14ac:dyDescent="0.25">
      <c r="C20" s="119"/>
      <c r="D20" s="70" t="s">
        <v>142</v>
      </c>
      <c r="E20" s="76">
        <f>'quy đổi ra 01 cây'!J33</f>
        <v>262258.60167091421</v>
      </c>
      <c r="F20" s="119"/>
    </row>
  </sheetData>
  <mergeCells count="2">
    <mergeCell ref="C10:C20"/>
    <mergeCell ref="F10:F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NGẬP MẶN</vt:lpstr>
      <vt:lpstr>quy đổi ra đường kính</vt:lpstr>
      <vt:lpstr>quy đổi ra 01 cây</vt:lpstr>
      <vt:lpstr>đơn giá</vt:lpstr>
      <vt:lpstr>'NGẬP MẶN'!Print_Titles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tvt</dc:creator>
  <cp:lastModifiedBy>DDT</cp:lastModifiedBy>
  <dcterms:created xsi:type="dcterms:W3CDTF">2024-02-21T06:37:58Z</dcterms:created>
  <dcterms:modified xsi:type="dcterms:W3CDTF">2025-05-22T09:48:09Z</dcterms:modified>
</cp:coreProperties>
</file>